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igene Dateien\katze\futter\"/>
    </mc:Choice>
  </mc:AlternateContent>
  <xr:revisionPtr revIDLastSave="0" documentId="13_ncr:1_{0F7860AE-C2C8-4E6E-8A38-7FFE7B7D1C8C}" xr6:coauthVersionLast="47" xr6:coauthVersionMax="47" xr10:uidLastSave="{00000000-0000-0000-0000-000000000000}"/>
  <workbookProtection workbookAlgorithmName="SHA-512" workbookHashValue="PvOS49EWV7Wu8kvDf/IsIgsWobaNQpGCgtVAHJGGdY2E5AbUE+6KGCrymb/gQmFv1U+yTl9sp1/NUnheUXcI7A==" workbookSaltValue="yELO1VgeD7lce7P+txWJwQ==" workbookSpinCount="100000" lockStructure="1"/>
  <bookViews>
    <workbookView xWindow="3180" yWindow="480" windowWidth="24120" windowHeight="14490" xr2:uid="{00000000-000D-0000-FFFF-FFFF00000000}"/>
  </bookViews>
  <sheets>
    <sheet name="Grunddaten" sheetId="1" r:id="rId1"/>
    <sheet name="Futterauswertung" sheetId="2" r:id="rId2"/>
  </sheets>
  <definedNames>
    <definedName name="_xlnm._FilterDatabase" localSheetId="0" hidden="1">Futterauswertung!$A$1:$Q$39</definedName>
    <definedName name="_xlnm.Print_Area" localSheetId="1">Futterauswertung!$A$1:$R$64</definedName>
    <definedName name="_xlnm.Print_Titles" localSheetId="1">Futterauswertung!$1:$2</definedName>
  </definedNames>
  <calcPr calcId="191029"/>
</workbook>
</file>

<file path=xl/calcChain.xml><?xml version="1.0" encoding="utf-8"?>
<calcChain xmlns="http://schemas.openxmlformats.org/spreadsheetml/2006/main">
  <c r="J11" i="2" l="1"/>
  <c r="K11" i="2"/>
  <c r="Q11" i="2"/>
  <c r="K8" i="2"/>
  <c r="Q8" i="2" s="1"/>
  <c r="P2" i="2"/>
  <c r="O2" i="2"/>
  <c r="Q4" i="2"/>
  <c r="K15" i="2"/>
  <c r="Q15" i="2" s="1"/>
  <c r="N9" i="1"/>
  <c r="K31" i="2"/>
  <c r="Q31" i="2" s="1"/>
  <c r="K36" i="2"/>
  <c r="Q36" i="2" s="1"/>
  <c r="K28" i="2"/>
  <c r="J28" i="2" s="1"/>
  <c r="K4" i="2"/>
  <c r="K5" i="2"/>
  <c r="J5" i="2" s="1"/>
  <c r="K6" i="2"/>
  <c r="J6" i="2" s="1"/>
  <c r="K7" i="2"/>
  <c r="Q7" i="2" s="1"/>
  <c r="K9" i="2"/>
  <c r="J9" i="2" s="1"/>
  <c r="K10" i="2"/>
  <c r="Q10" i="2" s="1"/>
  <c r="K12" i="2"/>
  <c r="Q12" i="2" s="1"/>
  <c r="K13" i="2"/>
  <c r="Q13" i="2" s="1"/>
  <c r="K14" i="2"/>
  <c r="Q14" i="2" s="1"/>
  <c r="K16" i="2"/>
  <c r="J16" i="2" s="1"/>
  <c r="K17" i="2"/>
  <c r="Q17" i="2" s="1"/>
  <c r="K18" i="2"/>
  <c r="J18" i="2" s="1"/>
  <c r="K19" i="2"/>
  <c r="Q19" i="2" s="1"/>
  <c r="K20" i="2"/>
  <c r="J20" i="2" s="1"/>
  <c r="K21" i="2"/>
  <c r="J21" i="2" s="1"/>
  <c r="K22" i="2"/>
  <c r="J22" i="2" s="1"/>
  <c r="K23" i="2"/>
  <c r="J23" i="2" s="1"/>
  <c r="K24" i="2"/>
  <c r="Q24" i="2" s="1"/>
  <c r="K25" i="2"/>
  <c r="Q25" i="2" s="1"/>
  <c r="K26" i="2"/>
  <c r="Q26" i="2" s="1"/>
  <c r="K27" i="2"/>
  <c r="Q27" i="2" s="1"/>
  <c r="K29" i="2"/>
  <c r="Q29" i="2" s="1"/>
  <c r="K30" i="2"/>
  <c r="J30" i="2" s="1"/>
  <c r="K32" i="2"/>
  <c r="Q32" i="2" s="1"/>
  <c r="K33" i="2"/>
  <c r="Q33" i="2" s="1"/>
  <c r="K34" i="2"/>
  <c r="Q34" i="2" s="1"/>
  <c r="K35" i="2"/>
  <c r="Q35" i="2" s="1"/>
  <c r="K37" i="2"/>
  <c r="J37" i="2" s="1"/>
  <c r="K38" i="2"/>
  <c r="Q38" i="2" s="1"/>
  <c r="K39" i="2"/>
  <c r="Q39" i="2" s="1"/>
  <c r="K40" i="2"/>
  <c r="Q40" i="2" s="1"/>
  <c r="K41" i="2"/>
  <c r="Q41" i="2" s="1"/>
  <c r="K42" i="2"/>
  <c r="Q42" i="2" s="1"/>
  <c r="K50" i="2"/>
  <c r="J50" i="2" s="1"/>
  <c r="K51" i="2"/>
  <c r="J51" i="2" s="1"/>
  <c r="K52" i="2"/>
  <c r="J52" i="2" s="1"/>
  <c r="K53" i="2"/>
  <c r="J53" i="2" s="1"/>
  <c r="K54" i="2"/>
  <c r="J54" i="2" s="1"/>
  <c r="K55" i="2"/>
  <c r="J55" i="2" s="1"/>
  <c r="K56" i="2"/>
  <c r="J56" i="2" s="1"/>
  <c r="K57" i="2"/>
  <c r="J57" i="2" s="1"/>
  <c r="K58" i="2"/>
  <c r="J58" i="2" s="1"/>
  <c r="K59" i="2"/>
  <c r="J59" i="2" s="1"/>
  <c r="K60" i="2"/>
  <c r="Q60" i="2" s="1"/>
  <c r="K61" i="2"/>
  <c r="J61" i="2" s="1"/>
  <c r="M12" i="2"/>
  <c r="M10" i="2"/>
  <c r="M41" i="2"/>
  <c r="J41" i="2"/>
  <c r="B7" i="1"/>
  <c r="B6" i="1"/>
  <c r="B10" i="1"/>
  <c r="D10" i="1" s="1"/>
  <c r="M40" i="2"/>
  <c r="S9" i="1"/>
  <c r="R9" i="1"/>
  <c r="Q9" i="1"/>
  <c r="P9" i="1"/>
  <c r="O9" i="1"/>
  <c r="M9" i="1"/>
  <c r="L9" i="1"/>
  <c r="K9" i="1"/>
  <c r="J9" i="1"/>
  <c r="J60" i="2"/>
  <c r="L11" i="2" l="1"/>
  <c r="O11" i="2" s="1"/>
  <c r="Q51" i="2"/>
  <c r="Q5" i="2"/>
  <c r="Q6" i="2"/>
  <c r="Q9" i="2"/>
  <c r="Q20" i="2"/>
  <c r="Q21" i="2"/>
  <c r="J8" i="2"/>
  <c r="L8" i="2" s="1"/>
  <c r="Q50" i="2"/>
  <c r="Q22" i="2"/>
  <c r="Q53" i="2"/>
  <c r="Q23" i="2"/>
  <c r="Q54" i="2"/>
  <c r="Q52" i="2"/>
  <c r="Q55" i="2"/>
  <c r="Q37" i="2"/>
  <c r="Q56" i="2"/>
  <c r="Q57" i="2"/>
  <c r="J39" i="2"/>
  <c r="L39" i="2" s="1"/>
  <c r="N39" i="2" s="1"/>
  <c r="Q58" i="2"/>
  <c r="Q16" i="2"/>
  <c r="Q28" i="2"/>
  <c r="Q59" i="2"/>
  <c r="Q18" i="2"/>
  <c r="Q30" i="2"/>
  <c r="Q61" i="2"/>
  <c r="L28" i="2"/>
  <c r="O28" i="2" s="1"/>
  <c r="L18" i="2"/>
  <c r="P18" i="2" s="1"/>
  <c r="J31" i="2"/>
  <c r="L31" i="2" s="1"/>
  <c r="P31" i="2" s="1"/>
  <c r="J17" i="2"/>
  <c r="L17" i="2" s="1"/>
  <c r="P17" i="2" s="1"/>
  <c r="J36" i="2"/>
  <c r="L36" i="2" s="1"/>
  <c r="P36" i="2" s="1"/>
  <c r="J29" i="2"/>
  <c r="L29" i="2" s="1"/>
  <c r="O29" i="2" s="1"/>
  <c r="J13" i="2"/>
  <c r="L13" i="2" s="1"/>
  <c r="O13" i="2" s="1"/>
  <c r="J24" i="2"/>
  <c r="L24" i="2" s="1"/>
  <c r="J42" i="2"/>
  <c r="L42" i="2" s="1"/>
  <c r="O42" i="2" s="1"/>
  <c r="J7" i="2"/>
  <c r="L7" i="2" s="1"/>
  <c r="O7" i="2" s="1"/>
  <c r="J34" i="2"/>
  <c r="L34" i="2" s="1"/>
  <c r="J10" i="2"/>
  <c r="L10" i="2" s="1"/>
  <c r="J33" i="2"/>
  <c r="L33" i="2" s="1"/>
  <c r="L5" i="2"/>
  <c r="P5" i="2" s="1"/>
  <c r="L16" i="2"/>
  <c r="P16" i="2" s="1"/>
  <c r="L59" i="2"/>
  <c r="N59" i="2" s="1"/>
  <c r="L61" i="2"/>
  <c r="O61" i="2" s="1"/>
  <c r="L22" i="2"/>
  <c r="N22" i="2" s="1"/>
  <c r="L56" i="2"/>
  <c r="L20" i="2"/>
  <c r="N20" i="2" s="1"/>
  <c r="L37" i="2"/>
  <c r="P37" i="2" s="1"/>
  <c r="L41" i="2"/>
  <c r="O41" i="2" s="1"/>
  <c r="L6" i="2"/>
  <c r="N6" i="2" s="1"/>
  <c r="L57" i="2"/>
  <c r="O57" i="2" s="1"/>
  <c r="L58" i="2"/>
  <c r="P58" i="2" s="1"/>
  <c r="L60" i="2"/>
  <c r="N60" i="2" s="1"/>
  <c r="L23" i="2"/>
  <c r="P23" i="2" s="1"/>
  <c r="L30" i="2"/>
  <c r="P30" i="2" s="1"/>
  <c r="L52" i="2"/>
  <c r="O52" i="2" s="1"/>
  <c r="L55" i="2"/>
  <c r="O55" i="2" s="1"/>
  <c r="L54" i="2"/>
  <c r="N54" i="2" s="1"/>
  <c r="L9" i="2"/>
  <c r="N9" i="2" s="1"/>
  <c r="L51" i="2"/>
  <c r="O51" i="2" s="1"/>
  <c r="L21" i="2"/>
  <c r="O21" i="2" s="1"/>
  <c r="J19" i="2"/>
  <c r="L19" i="2" s="1"/>
  <c r="P19" i="2" s="1"/>
  <c r="J4" i="2"/>
  <c r="L4" i="2" s="1"/>
  <c r="J15" i="2"/>
  <c r="L15" i="2" s="1"/>
  <c r="P15" i="2" s="1"/>
  <c r="J27" i="2"/>
  <c r="L27" i="2" s="1"/>
  <c r="N27" i="2" s="1"/>
  <c r="J26" i="2"/>
  <c r="L26" i="2" s="1"/>
  <c r="J38" i="2"/>
  <c r="L38" i="2" s="1"/>
  <c r="P38" i="2" s="1"/>
  <c r="J25" i="2"/>
  <c r="L25" i="2" s="1"/>
  <c r="N25" i="2" s="1"/>
  <c r="J32" i="2"/>
  <c r="L32" i="2" s="1"/>
  <c r="N32" i="2" s="1"/>
  <c r="J14" i="2"/>
  <c r="L14" i="2" s="1"/>
  <c r="L53" i="2"/>
  <c r="P53" i="2" s="1"/>
  <c r="J35" i="2"/>
  <c r="L35" i="2" s="1"/>
  <c r="P35" i="2" s="1"/>
  <c r="J12" i="2"/>
  <c r="L12" i="2" s="1"/>
  <c r="O12" i="2" s="1"/>
  <c r="L50" i="2"/>
  <c r="O50" i="2" s="1"/>
  <c r="J40" i="2"/>
  <c r="L40" i="2" s="1"/>
  <c r="N11" i="2" l="1"/>
  <c r="P11" i="2"/>
  <c r="P8" i="2"/>
  <c r="N8" i="2"/>
  <c r="O8" i="2"/>
  <c r="N18" i="2"/>
  <c r="O18" i="2"/>
  <c r="O17" i="2"/>
  <c r="N17" i="2"/>
  <c r="N28" i="2"/>
  <c r="P28" i="2"/>
  <c r="N31" i="2"/>
  <c r="O31" i="2"/>
  <c r="O36" i="2"/>
  <c r="N36" i="2"/>
  <c r="P13" i="2"/>
  <c r="N13" i="2"/>
  <c r="P22" i="2"/>
  <c r="N29" i="2"/>
  <c r="P24" i="2"/>
  <c r="O24" i="2"/>
  <c r="N24" i="2"/>
  <c r="O30" i="2"/>
  <c r="N61" i="2"/>
  <c r="P61" i="2"/>
  <c r="P29" i="2"/>
  <c r="N30" i="2"/>
  <c r="O59" i="2"/>
  <c r="N42" i="2"/>
  <c r="P42" i="2"/>
  <c r="O60" i="2"/>
  <c r="P60" i="2"/>
  <c r="N58" i="2"/>
  <c r="O22" i="2"/>
  <c r="O58" i="2"/>
  <c r="N16" i="2"/>
  <c r="O16" i="2"/>
  <c r="P57" i="2"/>
  <c r="N57" i="2"/>
  <c r="N5" i="2"/>
  <c r="O5" i="2"/>
  <c r="L65" i="2"/>
  <c r="O10" i="2"/>
  <c r="P10" i="2"/>
  <c r="N10" i="2"/>
  <c r="O56" i="2"/>
  <c r="L66" i="2"/>
  <c r="P6" i="2"/>
  <c r="P56" i="2"/>
  <c r="O23" i="2"/>
  <c r="P7" i="2"/>
  <c r="P52" i="2"/>
  <c r="N7" i="2"/>
  <c r="N23" i="2"/>
  <c r="N52" i="2"/>
  <c r="O6" i="2"/>
  <c r="P54" i="2"/>
  <c r="N21" i="2"/>
  <c r="O54" i="2"/>
  <c r="P59" i="2"/>
  <c r="P50" i="2"/>
  <c r="O15" i="2"/>
  <c r="N50" i="2"/>
  <c r="P21" i="2"/>
  <c r="P33" i="2"/>
  <c r="O33" i="2"/>
  <c r="N33" i="2"/>
  <c r="N19" i="2"/>
  <c r="N37" i="2"/>
  <c r="P55" i="2"/>
  <c r="O19" i="2"/>
  <c r="N55" i="2"/>
  <c r="N51" i="2"/>
  <c r="P27" i="2"/>
  <c r="P51" i="2"/>
  <c r="O39" i="2"/>
  <c r="P39" i="2"/>
  <c r="O20" i="2"/>
  <c r="P9" i="2"/>
  <c r="N56" i="2"/>
  <c r="O9" i="2"/>
  <c r="P20" i="2"/>
  <c r="N38" i="2"/>
  <c r="O37" i="2"/>
  <c r="P41" i="2"/>
  <c r="N41" i="2"/>
  <c r="P34" i="2"/>
  <c r="O34" i="2"/>
  <c r="N34" i="2"/>
  <c r="O38" i="2"/>
  <c r="N15" i="2"/>
  <c r="P4" i="2"/>
  <c r="O4" i="2"/>
  <c r="N4" i="2"/>
  <c r="O27" i="2"/>
  <c r="O53" i="2"/>
  <c r="N53" i="2"/>
  <c r="N26" i="2"/>
  <c r="P26" i="2"/>
  <c r="O26" i="2"/>
  <c r="O25" i="2"/>
  <c r="P25" i="2"/>
  <c r="O35" i="2"/>
  <c r="P32" i="2"/>
  <c r="O32" i="2"/>
  <c r="P14" i="2"/>
  <c r="O14" i="2"/>
  <c r="N14" i="2"/>
  <c r="N35" i="2"/>
  <c r="P12" i="2"/>
  <c r="N12" i="2"/>
  <c r="O40" i="2"/>
  <c r="N40" i="2"/>
  <c r="P4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</author>
  </authors>
  <commentList>
    <comment ref="C58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Thomas:</t>
        </r>
        <r>
          <rPr>
            <sz val="8"/>
            <color indexed="81"/>
            <rFont val="Tahoma"/>
            <family val="2"/>
          </rPr>
          <t xml:space="preserve">
enthält Butylhydroxyanisol (E 320), Butylhydroxytoluol (E 321) und Propylgallat (E 310) als Antioxidantien.
</t>
        </r>
      </text>
    </comment>
  </commentList>
</comments>
</file>

<file path=xl/sharedStrings.xml><?xml version="1.0" encoding="utf-8"?>
<sst xmlns="http://schemas.openxmlformats.org/spreadsheetml/2006/main" count="222" uniqueCount="168">
  <si>
    <t>Miamor milde Mahlzeit</t>
  </si>
  <si>
    <t>Protein</t>
  </si>
  <si>
    <t>Fett</t>
  </si>
  <si>
    <t>ADE</t>
  </si>
  <si>
    <t>ABCE</t>
  </si>
  <si>
    <t>0,3/0,3</t>
  </si>
  <si>
    <t>0,18/0,16</t>
  </si>
  <si>
    <t>0,3/0,25</t>
  </si>
  <si>
    <t>Faser</t>
  </si>
  <si>
    <t>0,4/0,3</t>
  </si>
  <si>
    <t>AD3E</t>
  </si>
  <si>
    <t>ACD3E</t>
  </si>
  <si>
    <t>kcal</t>
  </si>
  <si>
    <t>wieviel wiegt die Katze (oder Wunschgewicht)</t>
  </si>
  <si>
    <t>kg</t>
  </si>
  <si>
    <t>g</t>
  </si>
  <si>
    <t>kJoule</t>
  </si>
  <si>
    <t>umsetzbare Energie in Kcal/100g Futter</t>
  </si>
  <si>
    <t>0,23/0,21</t>
  </si>
  <si>
    <t>Bozita diverse</t>
  </si>
  <si>
    <t>Asche</t>
  </si>
  <si>
    <t>1/0.9</t>
  </si>
  <si>
    <t>Sanabelle Sensitive</t>
  </si>
  <si>
    <t>Eingabefelder</t>
  </si>
  <si>
    <t>Trockenfutter</t>
  </si>
  <si>
    <t>Nassfutter</t>
  </si>
  <si>
    <t>Umrechnung</t>
  </si>
  <si>
    <t>berechnete Werte</t>
  </si>
  <si>
    <t>-</t>
  </si>
  <si>
    <t>Energieverbrauch in kcal/Tag und kg Körpergewicht 
bei Gesamtgewicht von:</t>
  </si>
  <si>
    <t>Energiebedarf bitte nach nebenstehender Tabelle schätzen</t>
  </si>
  <si>
    <t>CD3E</t>
  </si>
  <si>
    <t>wasser-
gehalt</t>
  </si>
  <si>
    <t>0.2/0.13</t>
  </si>
  <si>
    <t>Kattovit Sensitive huhn</t>
  </si>
  <si>
    <t>0,22/0,17</t>
  </si>
  <si>
    <r>
      <t xml:space="preserve">Tagesbedarf für </t>
    </r>
    <r>
      <rPr>
        <b/>
        <u/>
        <sz val="10"/>
        <rFont val="Arial"/>
        <family val="2"/>
      </rPr>
      <t xml:space="preserve">kastriertes </t>
    </r>
    <r>
      <rPr>
        <sz val="10"/>
        <rFont val="Arial"/>
        <family val="2"/>
      </rPr>
      <t>Tier (Energie) in kcal</t>
    </r>
  </si>
  <si>
    <t>idealer Proteinbedarf</t>
  </si>
  <si>
    <t xml:space="preserve">idealer Fettbedarf </t>
  </si>
  <si>
    <t>Katzenmutter (säugend)</t>
  </si>
  <si>
    <t>Erwachsen normalgewichtig</t>
  </si>
  <si>
    <t>Erwachsen übergewichtig</t>
  </si>
  <si>
    <t>kcal--&gt;</t>
  </si>
  <si>
    <t>Gesamtgewicht (kg)</t>
  </si>
  <si>
    <t>Kitten,
40 wochen</t>
  </si>
  <si>
    <t>unter 2,25kg</t>
  </si>
  <si>
    <t>Kitten ,
10-15 Woche</t>
  </si>
  <si>
    <t>Kitten ,
16-20 Woche</t>
  </si>
  <si>
    <t>Kitten,
ca 20-25 Woche</t>
  </si>
  <si>
    <t>Erwachsen,
älter als 10 Jahre</t>
  </si>
  <si>
    <t>0,39/0,23</t>
  </si>
  <si>
    <t>EB1</t>
  </si>
  <si>
    <t>nix</t>
  </si>
  <si>
    <r>
      <t xml:space="preserve">Ist die Katze Erwachsen dann = 0 eingeben oder
ist es ein Kitten = 1 eingeben oder
ist sie Schwanger/Säugend dann = 2 eingeben </t>
    </r>
    <r>
      <rPr>
        <b/>
        <sz val="16"/>
        <rFont val="Arial"/>
        <family val="2"/>
      </rPr>
      <t>---&gt;</t>
    </r>
  </si>
  <si>
    <t>unkastrierte Erwachsene bitte 15-20% mehr füttern!!</t>
  </si>
  <si>
    <t xml:space="preserve">     ↓</t>
  </si>
  <si>
    <t>Whiskas zum kauen</t>
  </si>
  <si>
    <t>Catz finefood Lachs-geflügel</t>
  </si>
  <si>
    <t>0,25/0,20</t>
  </si>
  <si>
    <t>ABD3E</t>
  </si>
  <si>
    <t>Schesir CatThunfisch-Rind-Reis</t>
  </si>
  <si>
    <t>Whiskas herzhaft und lecker rind-herz</t>
  </si>
  <si>
    <t>D3E</t>
  </si>
  <si>
    <t>Royal Canin sensible 33</t>
  </si>
  <si>
    <t>1,13/0,91</t>
  </si>
  <si>
    <t>sanabelle no grain</t>
  </si>
  <si>
    <t>Sanabelle senior</t>
  </si>
  <si>
    <t>=======================================================================================================================================</t>
  </si>
  <si>
    <t>0,30/0,25</t>
  </si>
  <si>
    <t>Animoda carny Kitten</t>
  </si>
  <si>
    <t>0,35/0,29</t>
  </si>
  <si>
    <t>real nature wilderness KITTEN huhn lachs</t>
  </si>
  <si>
    <t>Kitten bzw Seniorfutter</t>
  </si>
  <si>
    <t>x</t>
  </si>
  <si>
    <t>"0,33/0,21</t>
  </si>
  <si>
    <t>real-nature Huhn/Rind</t>
  </si>
  <si>
    <t>Premiere Rind Putenherz Kitten</t>
  </si>
  <si>
    <t>produktionsbedingt enthält TroFu meist Getreide Reis etc deshalb ist der Kohlehydratanteil immer schlecht!</t>
  </si>
  <si>
    <t>dm dein bestes BIO huhn/Pute</t>
  </si>
  <si>
    <t>0,31/0,25</t>
  </si>
  <si>
    <t>D3</t>
  </si>
  <si>
    <t>Select Gold senior</t>
  </si>
  <si>
    <t>animonda Carny Senior</t>
  </si>
  <si>
    <t>0,26/0,22</t>
  </si>
  <si>
    <t xml:space="preserve">E </t>
  </si>
  <si>
    <t>Fit und Fun senior pate</t>
  </si>
  <si>
    <t>0,29/0,24</t>
  </si>
  <si>
    <t>josera ente huhn Pate</t>
  </si>
  <si>
    <t>0,9/0,8</t>
  </si>
  <si>
    <t>Happy Cat minkas Duo Huhn Lamm</t>
  </si>
  <si>
    <t>select gold pure adult huhn</t>
  </si>
  <si>
    <t>BxCD3E</t>
  </si>
  <si>
    <t>1,5/1,15</t>
  </si>
  <si>
    <t>Zooroyal Lachspastete</t>
  </si>
  <si>
    <t>MACs Geflügel,Rind cranberry</t>
  </si>
  <si>
    <t>MjamMjam Huhn Möhrchen</t>
  </si>
  <si>
    <t>MjamMjam zarte Ente</t>
  </si>
  <si>
    <t>AD3</t>
  </si>
  <si>
    <t>0,25/0,2</t>
  </si>
  <si>
    <t>Miamor Milde Mahlzeit senior</t>
  </si>
  <si>
    <t>0,28/0,25</t>
  </si>
  <si>
    <t>0,35/0,3</t>
  </si>
  <si>
    <t>Animonda Carny Rind Kabeljau</t>
  </si>
  <si>
    <t>purina One BIFENSIS sensitive truthahn</t>
  </si>
  <si>
    <t>ACD3E Omega 3&amp;6 Fettsr.</t>
  </si>
  <si>
    <t>Happy Cat culinary Adult Landgeflügel</t>
  </si>
  <si>
    <t>1,15/0,95</t>
  </si>
  <si>
    <t>ABxCD3E Omega 3&amp;6 Fettsr.</t>
  </si>
  <si>
    <t>1,15/1,0</t>
  </si>
  <si>
    <t>AD3EBxK Omega 3&amp;6 Fettsr.</t>
  </si>
  <si>
    <t>almo nature HFC sterilized Huhn</t>
  </si>
  <si>
    <t>Royal Canin kitten steril &gt;6mon.</t>
  </si>
  <si>
    <t>1/0,95</t>
  </si>
  <si>
    <t>Hills Science Hair. Indoor Cat</t>
  </si>
  <si>
    <t>0,87/0,64</t>
  </si>
  <si>
    <t>Hills Science Adult7+  Huhn</t>
  </si>
  <si>
    <t>0,85/0,63</t>
  </si>
  <si>
    <t>ACED3 Omega 3&amp;6 Fettsr.</t>
  </si>
  <si>
    <t>Mera all cats adult Lachs</t>
  </si>
  <si>
    <t>Premiere Kitten Geflügel</t>
  </si>
  <si>
    <t>1,4/1</t>
  </si>
  <si>
    <t>0,2/0,17</t>
  </si>
  <si>
    <t>Miamor "Feine Beute" 7sorten</t>
  </si>
  <si>
    <t>0,34/0,26</t>
  </si>
  <si>
    <t>Lucky Lou dm Geflügel/Pastinake</t>
  </si>
  <si>
    <t>"0,23/0,18</t>
  </si>
  <si>
    <t>Anifit</t>
  </si>
  <si>
    <t>0,5/0,42</t>
  </si>
  <si>
    <t>Royal canin indoor sterilised</t>
  </si>
  <si>
    <t>0,18/??</t>
  </si>
  <si>
    <t>??</t>
  </si>
  <si>
    <t>Royal Canin ageing 11+</t>
  </si>
  <si>
    <t>D3EC</t>
  </si>
  <si>
    <t>??/0,15</t>
  </si>
  <si>
    <t>Zooroyal Senior pastete</t>
  </si>
  <si>
    <t>Real nature Adult Truthahn</t>
  </si>
  <si>
    <t>Angaben Futteretikett/Hersteller</t>
  </si>
  <si>
    <t>catz finefood Senior Huhn</t>
  </si>
  <si>
    <t>Ca/P Verhältnis (möglichst niedrig, aber Phosphat immer kleiner als Calcium)</t>
  </si>
  <si>
    <t>Nutzung nur mit einer Quellenangabe erlaubt.</t>
  </si>
  <si>
    <t>aktuelle Version nur auf meiner Webseite: https://www.dielaufers.de/</t>
  </si>
  <si>
    <t>Autor Thomas Laufer, 65779 Kelkheim</t>
  </si>
  <si>
    <t>Version. 2005-2026</t>
  </si>
  <si>
    <t>Leonardo All meat Geflügel pur</t>
  </si>
  <si>
    <t>1,5/1</t>
  </si>
  <si>
    <t>Granatapet Rind&amp;Geflügel</t>
  </si>
  <si>
    <t>0,27/0,24</t>
  </si>
  <si>
    <t>Minkas Naturkost Huhn/kartoffel</t>
  </si>
  <si>
    <t>Landpartie Lachs Hühnchen</t>
  </si>
  <si>
    <t>D3ECBx</t>
  </si>
  <si>
    <t>Stand juli 2026</t>
  </si>
  <si>
    <t>1,4/0,2</t>
  </si>
  <si>
    <t>B1, B2, B6</t>
  </si>
  <si>
    <t>perfect fit natural vitality Huhn</t>
  </si>
  <si>
    <t>Sheba perfect portions pastete mit Huhn</t>
  </si>
  <si>
    <t>real nature wilderness pure chicken</t>
  </si>
  <si>
    <t>1 kcal</t>
  </si>
  <si>
    <t>entspricht</t>
  </si>
  <si>
    <t>gelb sind gute werte (meine meinung) bitte auf hochwertiges Fleisch achten , Nebenerzeugnisse= je weniger desto besser!</t>
  </si>
  <si>
    <t>AD3ECBx</t>
  </si>
  <si>
    <t>Vitamine (Bx bedeutet diverse B vitamine)</t>
  </si>
  <si>
    <t>% Kohle- hydrat in der Trocken- masse</t>
  </si>
  <si>
    <t>Taurin mg/kg nnnn</t>
  </si>
  <si>
    <t>Tages- kosten des Futters     hjg ghjgh ggk</t>
  </si>
  <si>
    <t>Name
Alle Analysendaten stammen von Futteretiketten und wurden von mir eingetippt.</t>
  </si>
  <si>
    <r>
      <t xml:space="preserve">berechnete Futtermenge
</t>
    </r>
    <r>
      <rPr>
        <b/>
        <sz val="10"/>
        <color indexed="50"/>
        <rFont val="Arial"/>
        <family val="2"/>
      </rPr>
      <t>grüne Einfärbung=</t>
    </r>
    <r>
      <rPr>
        <b/>
        <sz val="10"/>
        <rFont val="Arial"/>
        <family val="2"/>
      </rPr>
      <t xml:space="preserve"> </t>
    </r>
    <r>
      <rPr>
        <b/>
        <sz val="10"/>
        <color indexed="50"/>
        <rFont val="Arial"/>
        <family val="2"/>
      </rPr>
      <t>je kleiner die futterration desto besser ist das futter !!</t>
    </r>
  </si>
  <si>
    <r>
      <t xml:space="preserve">euer Einkaufs- preis pro 100g Futter
</t>
    </r>
    <r>
      <rPr>
        <b/>
        <sz val="10"/>
        <color indexed="50"/>
        <rFont val="Arial"/>
        <family val="2"/>
      </rPr>
      <t>bitte  aktualisieren</t>
    </r>
  </si>
  <si>
    <t>ist Kohlehydrate-gehalt &lt;12% ? 
,da Katzen Getreide wegen der kurzen Verdauungswege schlechter ausnutzen
ist die Energie die darin gebunden ist, grösstenteils verloren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</si>
</sst>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\ &quot;€&quot;"/>
    <numFmt numFmtId="166" formatCode="0.000"/>
  </numFmts>
  <fonts count="12" x14ac:knownFonts="1">
    <font>
      <sz val="10"/>
      <name val="Arial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color indexed="5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5"/>
      </patternFill>
    </fill>
  </fills>
  <borders count="2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8" borderId="0" applyNumberFormat="0" applyBorder="0" applyAlignment="0" applyProtection="0"/>
  </cellStyleXfs>
  <cellXfs count="112">
    <xf numFmtId="0" fontId="0" fillId="0" borderId="0" xfId="0"/>
    <xf numFmtId="164" fontId="0" fillId="0" borderId="0" xfId="0" applyNumberFormat="1"/>
    <xf numFmtId="1" fontId="0" fillId="0" borderId="0" xfId="0" applyNumberFormat="1"/>
    <xf numFmtId="0" fontId="2" fillId="0" borderId="0" xfId="0" applyFont="1"/>
    <xf numFmtId="165" fontId="0" fillId="0" borderId="0" xfId="0" applyNumberFormat="1"/>
    <xf numFmtId="1" fontId="3" fillId="0" borderId="0" xfId="0" applyNumberFormat="1" applyFont="1" applyAlignment="1">
      <alignment wrapText="1"/>
    </xf>
    <xf numFmtId="0" fontId="0" fillId="2" borderId="0" xfId="0" applyFill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0" xfId="0" applyFill="1" applyAlignment="1">
      <alignment horizontal="right"/>
    </xf>
    <xf numFmtId="0" fontId="3" fillId="0" borderId="0" xfId="0" applyFont="1" applyAlignment="1">
      <alignment vertical="top" wrapText="1"/>
    </xf>
    <xf numFmtId="0" fontId="3" fillId="0" borderId="0" xfId="0" applyFont="1"/>
    <xf numFmtId="2" fontId="0" fillId="0" borderId="0" xfId="0" applyNumberFormat="1"/>
    <xf numFmtId="1" fontId="0" fillId="0" borderId="2" xfId="0" applyNumberFormat="1" applyBorder="1"/>
    <xf numFmtId="164" fontId="0" fillId="0" borderId="2" xfId="0" applyNumberFormat="1" applyBorder="1" applyAlignment="1">
      <alignment horizontal="right"/>
    </xf>
    <xf numFmtId="1" fontId="0" fillId="2" borderId="0" xfId="0" applyNumberFormat="1" applyFill="1"/>
    <xf numFmtId="164" fontId="0" fillId="2" borderId="0" xfId="0" applyNumberFormat="1" applyFill="1"/>
    <xf numFmtId="1" fontId="3" fillId="2" borderId="0" xfId="0" applyNumberFormat="1" applyFont="1" applyFill="1"/>
    <xf numFmtId="164" fontId="0" fillId="0" borderId="3" xfId="0" applyNumberFormat="1" applyBorder="1" applyAlignment="1">
      <alignment horizontal="right"/>
    </xf>
    <xf numFmtId="164" fontId="0" fillId="0" borderId="3" xfId="0" applyNumberFormat="1" applyBorder="1"/>
    <xf numFmtId="1" fontId="0" fillId="0" borderId="3" xfId="0" applyNumberFormat="1" applyBorder="1"/>
    <xf numFmtId="1" fontId="0" fillId="0" borderId="4" xfId="0" applyNumberFormat="1" applyBorder="1"/>
    <xf numFmtId="1" fontId="0" fillId="0" borderId="5" xfId="0" applyNumberFormat="1" applyBorder="1"/>
    <xf numFmtId="166" fontId="0" fillId="2" borderId="0" xfId="0" applyNumberFormat="1" applyFill="1"/>
    <xf numFmtId="164" fontId="0" fillId="0" borderId="6" xfId="0" applyNumberFormat="1" applyBorder="1" applyAlignment="1">
      <alignment horizontal="right"/>
    </xf>
    <xf numFmtId="1" fontId="0" fillId="0" borderId="6" xfId="0" applyNumberFormat="1" applyBorder="1"/>
    <xf numFmtId="1" fontId="0" fillId="0" borderId="7" xfId="0" applyNumberFormat="1" applyBorder="1"/>
    <xf numFmtId="0" fontId="3" fillId="2" borderId="0" xfId="0" applyFont="1" applyFill="1"/>
    <xf numFmtId="1" fontId="0" fillId="0" borderId="0" xfId="0" applyNumberFormat="1" applyAlignment="1">
      <alignment horizontal="center" vertical="center" wrapText="1"/>
    </xf>
    <xf numFmtId="1" fontId="2" fillId="0" borderId="8" xfId="0" applyNumberFormat="1" applyFont="1" applyBorder="1"/>
    <xf numFmtId="164" fontId="2" fillId="0" borderId="2" xfId="0" applyNumberFormat="1" applyFont="1" applyBorder="1" applyAlignment="1">
      <alignment horizontal="right" wrapText="1"/>
    </xf>
    <xf numFmtId="2" fontId="2" fillId="0" borderId="2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" fontId="2" fillId="0" borderId="8" xfId="0" applyNumberFormat="1" applyFont="1" applyBorder="1" applyAlignment="1">
      <alignment wrapText="1"/>
    </xf>
    <xf numFmtId="1" fontId="2" fillId="0" borderId="9" xfId="0" applyNumberFormat="1" applyFont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wrapText="1"/>
    </xf>
    <xf numFmtId="0" fontId="1" fillId="8" borderId="0" xfId="1" applyAlignment="1">
      <alignment wrapText="1"/>
    </xf>
    <xf numFmtId="0" fontId="1" fillId="8" borderId="0" xfId="1"/>
    <xf numFmtId="164" fontId="1" fillId="8" borderId="0" xfId="1" applyNumberFormat="1"/>
    <xf numFmtId="0" fontId="4" fillId="0" borderId="0" xfId="0" applyFont="1" applyAlignment="1">
      <alignment horizontal="center" wrapText="1"/>
    </xf>
    <xf numFmtId="164" fontId="2" fillId="0" borderId="11" xfId="0" applyNumberFormat="1" applyFont="1" applyBorder="1" applyAlignment="1">
      <alignment horizontal="center"/>
    </xf>
    <xf numFmtId="1" fontId="4" fillId="0" borderId="12" xfId="0" applyNumberFormat="1" applyFont="1" applyBorder="1"/>
    <xf numFmtId="0" fontId="0" fillId="7" borderId="0" xfId="0" applyFill="1" applyAlignment="1">
      <alignment horizontal="center"/>
    </xf>
    <xf numFmtId="0" fontId="2" fillId="0" borderId="0" xfId="0" applyFont="1" applyAlignment="1">
      <alignment vertical="top" wrapText="1"/>
    </xf>
    <xf numFmtId="1" fontId="2" fillId="0" borderId="0" xfId="0" applyNumberFormat="1" applyFont="1" applyAlignment="1">
      <alignment horizontal="right" vertical="top" wrapText="1"/>
    </xf>
    <xf numFmtId="164" fontId="2" fillId="0" borderId="16" xfId="0" applyNumberFormat="1" applyFont="1" applyBorder="1" applyAlignment="1">
      <alignment horizontal="left" vertical="top" wrapText="1"/>
    </xf>
    <xf numFmtId="0" fontId="2" fillId="7" borderId="0" xfId="0" applyFont="1" applyFill="1" applyAlignment="1">
      <alignment horizontal="center" vertical="top" wrapText="1"/>
    </xf>
    <xf numFmtId="0" fontId="7" fillId="0" borderId="0" xfId="0" applyFont="1" applyAlignment="1">
      <alignment vertical="top" wrapText="1"/>
    </xf>
    <xf numFmtId="164" fontId="8" fillId="0" borderId="11" xfId="0" applyNumberFormat="1" applyFont="1" applyBorder="1" applyAlignment="1">
      <alignment vertical="top" wrapText="1"/>
    </xf>
    <xf numFmtId="1" fontId="2" fillId="0" borderId="15" xfId="0" applyNumberFormat="1" applyFont="1" applyBorder="1" applyAlignment="1">
      <alignment vertical="top" wrapText="1"/>
    </xf>
    <xf numFmtId="1" fontId="2" fillId="0" borderId="14" xfId="0" applyNumberFormat="1" applyFont="1" applyBorder="1" applyAlignment="1">
      <alignment vertical="top" wrapText="1"/>
    </xf>
    <xf numFmtId="1" fontId="2" fillId="0" borderId="0" xfId="0" applyNumberFormat="1" applyFont="1" applyAlignment="1">
      <alignment vertical="top" wrapText="1"/>
    </xf>
    <xf numFmtId="165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2" fillId="4" borderId="0" xfId="0" applyFont="1" applyFill="1" applyAlignment="1">
      <alignment wrapText="1"/>
    </xf>
    <xf numFmtId="0" fontId="2" fillId="0" borderId="10" xfId="0" applyFont="1" applyBorder="1" applyAlignment="1">
      <alignment horizontal="center"/>
    </xf>
    <xf numFmtId="164" fontId="2" fillId="0" borderId="11" xfId="0" applyNumberFormat="1" applyFont="1" applyBorder="1"/>
    <xf numFmtId="1" fontId="2" fillId="0" borderId="13" xfId="0" applyNumberFormat="1" applyFont="1" applyBorder="1"/>
    <xf numFmtId="1" fontId="2" fillId="0" borderId="0" xfId="0" applyNumberFormat="1" applyFont="1"/>
    <xf numFmtId="165" fontId="2" fillId="0" borderId="0" xfId="0" applyNumberFormat="1" applyFont="1"/>
    <xf numFmtId="0" fontId="2" fillId="7" borderId="0" xfId="0" applyFont="1" applyFill="1" applyAlignment="1">
      <alignment horizontal="center"/>
    </xf>
    <xf numFmtId="164" fontId="2" fillId="5" borderId="2" xfId="0" applyNumberFormat="1" applyFont="1" applyFill="1" applyBorder="1" applyAlignment="1">
      <alignment horizontal="left" vertical="center" wrapText="1"/>
    </xf>
    <xf numFmtId="164" fontId="2" fillId="0" borderId="16" xfId="0" applyNumberFormat="1" applyFont="1" applyBorder="1" applyAlignment="1">
      <alignment vertical="top" wrapText="1"/>
    </xf>
    <xf numFmtId="0" fontId="3" fillId="0" borderId="19" xfId="0" applyFont="1" applyBorder="1" applyAlignment="1" applyProtection="1">
      <alignment vertical="top" wrapText="1"/>
      <protection locked="0"/>
    </xf>
    <xf numFmtId="164" fontId="2" fillId="0" borderId="19" xfId="0" applyNumberFormat="1" applyFont="1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1" fontId="0" fillId="0" borderId="0" xfId="0" applyNumberFormat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wrapText="1"/>
      <protection locked="0"/>
    </xf>
    <xf numFmtId="164" fontId="0" fillId="0" borderId="0" xfId="0" applyNumberFormat="1" applyProtection="1">
      <protection locked="0"/>
    </xf>
    <xf numFmtId="1" fontId="2" fillId="0" borderId="15" xfId="0" applyNumberFormat="1" applyFont="1" applyBorder="1" applyAlignment="1" applyProtection="1">
      <alignment vertical="top" wrapText="1"/>
      <protection locked="0"/>
    </xf>
    <xf numFmtId="1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164" fontId="0" fillId="7" borderId="0" xfId="0" applyNumberFormat="1" applyFill="1" applyAlignment="1" applyProtection="1">
      <alignment horizontal="center"/>
      <protection locked="0"/>
    </xf>
    <xf numFmtId="0" fontId="0" fillId="4" borderId="19" xfId="0" applyFill="1" applyBorder="1" applyProtection="1">
      <protection locked="0"/>
    </xf>
    <xf numFmtId="164" fontId="0" fillId="0" borderId="19" xfId="0" applyNumberFormat="1" applyBorder="1" applyProtection="1">
      <protection locked="0"/>
    </xf>
    <xf numFmtId="164" fontId="0" fillId="4" borderId="19" xfId="0" applyNumberFormat="1" applyFill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1" fontId="3" fillId="0" borderId="0" xfId="0" applyNumberFormat="1" applyFont="1" applyAlignment="1" applyProtection="1">
      <alignment horizontal="right" wrapText="1"/>
      <protection locked="0"/>
    </xf>
    <xf numFmtId="1" fontId="2" fillId="0" borderId="0" xfId="0" applyNumberFormat="1" applyFont="1" applyAlignment="1" applyProtection="1">
      <alignment vertical="top" wrapText="1"/>
      <protection locked="0"/>
    </xf>
    <xf numFmtId="0" fontId="3" fillId="6" borderId="19" xfId="0" applyFont="1" applyFill="1" applyBorder="1" applyAlignment="1" applyProtection="1">
      <alignment wrapText="1"/>
      <protection locked="0"/>
    </xf>
    <xf numFmtId="164" fontId="0" fillId="0" borderId="0" xfId="0" applyNumberFormat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7" borderId="0" xfId="0" applyFill="1" applyAlignment="1" applyProtection="1">
      <alignment horizontal="center"/>
      <protection locked="0"/>
    </xf>
    <xf numFmtId="0" fontId="3" fillId="0" borderId="17" xfId="0" applyFont="1" applyBorder="1" applyAlignment="1" applyProtection="1">
      <alignment vertical="top" wrapText="1"/>
      <protection locked="0"/>
    </xf>
    <xf numFmtId="0" fontId="7" fillId="0" borderId="17" xfId="0" quotePrefix="1" applyFont="1" applyBorder="1" applyProtection="1">
      <protection locked="0"/>
    </xf>
    <xf numFmtId="0" fontId="0" fillId="0" borderId="19" xfId="0" applyBorder="1" applyProtection="1">
      <protection locked="0"/>
    </xf>
    <xf numFmtId="0" fontId="4" fillId="0" borderId="17" xfId="0" applyFont="1" applyBorder="1" applyProtection="1">
      <protection locked="0"/>
    </xf>
    <xf numFmtId="164" fontId="3" fillId="0" borderId="0" xfId="0" applyNumberFormat="1" applyFont="1" applyAlignment="1" applyProtection="1">
      <alignment horizontal="right" wrapText="1"/>
      <protection locked="0"/>
    </xf>
    <xf numFmtId="164" fontId="3" fillId="0" borderId="19" xfId="0" applyNumberFormat="1" applyFont="1" applyBorder="1" applyProtection="1">
      <protection locked="0"/>
    </xf>
    <xf numFmtId="164" fontId="3" fillId="6" borderId="19" xfId="0" applyNumberFormat="1" applyFont="1" applyFill="1" applyBorder="1" applyProtection="1">
      <protection locked="0"/>
    </xf>
    <xf numFmtId="0" fontId="3" fillId="7" borderId="0" xfId="0" applyFont="1" applyFill="1" applyAlignment="1" applyProtection="1">
      <alignment horizontal="center"/>
      <protection locked="0"/>
    </xf>
    <xf numFmtId="165" fontId="3" fillId="0" borderId="0" xfId="0" applyNumberFormat="1" applyFont="1" applyProtection="1">
      <protection locked="0"/>
    </xf>
    <xf numFmtId="0" fontId="3" fillId="0" borderId="19" xfId="0" applyFont="1" applyBorder="1" applyProtection="1">
      <protection locked="0"/>
    </xf>
    <xf numFmtId="0" fontId="3" fillId="0" borderId="18" xfId="0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" fontId="2" fillId="0" borderId="20" xfId="0" applyNumberFormat="1" applyFont="1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49" fontId="2" fillId="0" borderId="23" xfId="0" applyNumberFormat="1" applyFont="1" applyBorder="1" applyAlignment="1">
      <alignment horizontal="right" wrapText="1"/>
    </xf>
    <xf numFmtId="0" fontId="2" fillId="0" borderId="23" xfId="0" applyFont="1" applyBorder="1" applyAlignment="1">
      <alignment horizontal="right"/>
    </xf>
  </cellXfs>
  <cellStyles count="2">
    <cellStyle name="40 % - Akzent6" xfId="1" builtinId="51"/>
    <cellStyle name="Standard" xfId="0" builtinId="0"/>
  </cellStyles>
  <dxfs count="2">
    <dxf>
      <font>
        <color rgb="FF9C0006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7605883639545057"/>
          <c:y val="2.8252405949256341E-2"/>
          <c:w val="0.5756426071741032"/>
          <c:h val="0.832619568387284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Grunddaten!$G$8</c:f>
              <c:strCache>
                <c:ptCount val="1"/>
                <c:pt idx="0">
                  <c:v>Erwachsen normalgewichtig</c:v>
                </c:pt>
              </c:strCache>
            </c:strRef>
          </c:tx>
          <c:trendline>
            <c:trendlineType val="power"/>
            <c:dispRSqr val="0"/>
            <c:dispEq val="0"/>
          </c:trendline>
          <c:xVal>
            <c:numRef>
              <c:f>Grunddaten!$I$3:$S$3</c:f>
              <c:numCache>
                <c:formatCode>0.0</c:formatCode>
                <c:ptCount val="11"/>
                <c:pt idx="0" formatCode="0.00">
                  <c:v>2.25</c:v>
                </c:pt>
                <c:pt idx="1">
                  <c:v>3</c:v>
                </c:pt>
                <c:pt idx="2">
                  <c:v>3.5</c:v>
                </c:pt>
                <c:pt idx="3">
                  <c:v>4</c:v>
                </c:pt>
                <c:pt idx="4">
                  <c:v>4.53</c:v>
                </c:pt>
                <c:pt idx="5">
                  <c:v>5</c:v>
                </c:pt>
                <c:pt idx="6">
                  <c:v>5.5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</c:numCache>
            </c:numRef>
          </c:xVal>
          <c:yVal>
            <c:numRef>
              <c:f>Grunddaten!$I$8:$S$8</c:f>
              <c:numCache>
                <c:formatCode>0</c:formatCode>
                <c:ptCount val="11"/>
                <c:pt idx="1">
                  <c:v>70</c:v>
                </c:pt>
                <c:pt idx="2">
                  <c:v>67</c:v>
                </c:pt>
                <c:pt idx="3">
                  <c:v>64</c:v>
                </c:pt>
                <c:pt idx="4">
                  <c:v>62</c:v>
                </c:pt>
                <c:pt idx="5">
                  <c:v>59</c:v>
                </c:pt>
                <c:pt idx="6">
                  <c:v>58</c:v>
                </c:pt>
                <c:pt idx="7">
                  <c:v>56</c:v>
                </c:pt>
                <c:pt idx="8">
                  <c:v>53</c:v>
                </c:pt>
                <c:pt idx="9">
                  <c:v>51</c:v>
                </c:pt>
                <c:pt idx="10">
                  <c:v>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BAA-4F17-BB58-DC2989E25936}"/>
            </c:ext>
          </c:extLst>
        </c:ser>
        <c:ser>
          <c:idx val="1"/>
          <c:order val="1"/>
          <c:tx>
            <c:strRef>
              <c:f>Grunddaten!$G$10</c:f>
              <c:strCache>
                <c:ptCount val="1"/>
                <c:pt idx="0">
                  <c:v>Erwachsen übergewichtig</c:v>
                </c:pt>
              </c:strCache>
            </c:strRef>
          </c:tx>
          <c:trendline>
            <c:trendlineType val="power"/>
            <c:dispRSqr val="0"/>
            <c:dispEq val="0"/>
          </c:trendline>
          <c:xVal>
            <c:numRef>
              <c:f>Grunddaten!$I$3:$S$3</c:f>
              <c:numCache>
                <c:formatCode>0.0</c:formatCode>
                <c:ptCount val="11"/>
                <c:pt idx="0" formatCode="0.00">
                  <c:v>2.25</c:v>
                </c:pt>
                <c:pt idx="1">
                  <c:v>3</c:v>
                </c:pt>
                <c:pt idx="2">
                  <c:v>3.5</c:v>
                </c:pt>
                <c:pt idx="3">
                  <c:v>4</c:v>
                </c:pt>
                <c:pt idx="4">
                  <c:v>4.53</c:v>
                </c:pt>
                <c:pt idx="5">
                  <c:v>5</c:v>
                </c:pt>
                <c:pt idx="6">
                  <c:v>5.5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</c:numCache>
            </c:numRef>
          </c:xVal>
          <c:yVal>
            <c:numRef>
              <c:f>Grunddaten!$I$10:$S$10</c:f>
              <c:numCache>
                <c:formatCode>0</c:formatCode>
                <c:ptCount val="11"/>
                <c:pt idx="1">
                  <c:v>68</c:v>
                </c:pt>
                <c:pt idx="2">
                  <c:v>61</c:v>
                </c:pt>
                <c:pt idx="3">
                  <c:v>56</c:v>
                </c:pt>
                <c:pt idx="4">
                  <c:v>53</c:v>
                </c:pt>
                <c:pt idx="5">
                  <c:v>50</c:v>
                </c:pt>
                <c:pt idx="6">
                  <c:v>46</c:v>
                </c:pt>
                <c:pt idx="7">
                  <c:v>44</c:v>
                </c:pt>
                <c:pt idx="8">
                  <c:v>41</c:v>
                </c:pt>
                <c:pt idx="9">
                  <c:v>38</c:v>
                </c:pt>
                <c:pt idx="10">
                  <c:v>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BAA-4F17-BB58-DC2989E25936}"/>
            </c:ext>
          </c:extLst>
        </c:ser>
        <c:ser>
          <c:idx val="2"/>
          <c:order val="2"/>
          <c:tx>
            <c:strRef>
              <c:f>Grunddaten!$G$11</c:f>
              <c:strCache>
                <c:ptCount val="1"/>
                <c:pt idx="0">
                  <c:v>Katzenmutter (säugend)</c:v>
                </c:pt>
              </c:strCache>
            </c:strRef>
          </c:tx>
          <c:trendline>
            <c:trendlineType val="poly"/>
            <c:order val="3"/>
            <c:dispRSqr val="0"/>
            <c:dispEq val="0"/>
          </c:trendline>
          <c:xVal>
            <c:numRef>
              <c:f>Grunddaten!$I$3:$S$3</c:f>
              <c:numCache>
                <c:formatCode>0.0</c:formatCode>
                <c:ptCount val="11"/>
                <c:pt idx="0" formatCode="0.00">
                  <c:v>2.25</c:v>
                </c:pt>
                <c:pt idx="1">
                  <c:v>3</c:v>
                </c:pt>
                <c:pt idx="2">
                  <c:v>3.5</c:v>
                </c:pt>
                <c:pt idx="3">
                  <c:v>4</c:v>
                </c:pt>
                <c:pt idx="4">
                  <c:v>4.53</c:v>
                </c:pt>
                <c:pt idx="5">
                  <c:v>5</c:v>
                </c:pt>
                <c:pt idx="6">
                  <c:v>5.5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</c:numCache>
            </c:numRef>
          </c:xVal>
          <c:yVal>
            <c:numRef>
              <c:f>Grunddaten!$I$11:$S$11</c:f>
              <c:numCache>
                <c:formatCode>0</c:formatCode>
                <c:ptCount val="11"/>
                <c:pt idx="1">
                  <c:v>143</c:v>
                </c:pt>
                <c:pt idx="2">
                  <c:v>140</c:v>
                </c:pt>
                <c:pt idx="3">
                  <c:v>138</c:v>
                </c:pt>
                <c:pt idx="4">
                  <c:v>134</c:v>
                </c:pt>
                <c:pt idx="5">
                  <c:v>132</c:v>
                </c:pt>
                <c:pt idx="6">
                  <c:v>130</c:v>
                </c:pt>
                <c:pt idx="7">
                  <c:v>128</c:v>
                </c:pt>
                <c:pt idx="8">
                  <c:v>125</c:v>
                </c:pt>
                <c:pt idx="9">
                  <c:v>123</c:v>
                </c:pt>
                <c:pt idx="10">
                  <c:v>121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9BAA-4F17-BB58-DC2989E25936}"/>
            </c:ext>
          </c:extLst>
        </c:ser>
        <c:ser>
          <c:idx val="3"/>
          <c:order val="3"/>
          <c:tx>
            <c:strRef>
              <c:f>Grunddaten!$G$9</c:f>
              <c:strCache>
                <c:ptCount val="1"/>
                <c:pt idx="0">
                  <c:v>Erwachsen,
älter als 10 Jahre</c:v>
                </c:pt>
              </c:strCache>
            </c:strRef>
          </c:tx>
          <c:trendline>
            <c:spPr>
              <a:ln w="25400">
                <a:solidFill>
                  <a:srgbClr val="7030A0"/>
                </a:solidFill>
              </a:ln>
            </c:spPr>
            <c:trendlineType val="power"/>
            <c:dispRSqr val="0"/>
            <c:dispEq val="0"/>
          </c:trendline>
          <c:xVal>
            <c:numRef>
              <c:f>Grunddaten!$I$3:$S$3</c:f>
              <c:numCache>
                <c:formatCode>0.0</c:formatCode>
                <c:ptCount val="11"/>
                <c:pt idx="0" formatCode="0.00">
                  <c:v>2.25</c:v>
                </c:pt>
                <c:pt idx="1">
                  <c:v>3</c:v>
                </c:pt>
                <c:pt idx="2">
                  <c:v>3.5</c:v>
                </c:pt>
                <c:pt idx="3">
                  <c:v>4</c:v>
                </c:pt>
                <c:pt idx="4">
                  <c:v>4.53</c:v>
                </c:pt>
                <c:pt idx="5">
                  <c:v>5</c:v>
                </c:pt>
                <c:pt idx="6">
                  <c:v>5.5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</c:numCache>
            </c:numRef>
          </c:xVal>
          <c:yVal>
            <c:numRef>
              <c:f>Grunddaten!$I$9:$S$9</c:f>
              <c:numCache>
                <c:formatCode>0</c:formatCode>
                <c:ptCount val="11"/>
                <c:pt idx="1">
                  <c:v>61.6</c:v>
                </c:pt>
                <c:pt idx="2">
                  <c:v>58.96</c:v>
                </c:pt>
                <c:pt idx="3">
                  <c:v>56.32</c:v>
                </c:pt>
                <c:pt idx="4">
                  <c:v>54.56</c:v>
                </c:pt>
                <c:pt idx="5">
                  <c:v>51.92</c:v>
                </c:pt>
                <c:pt idx="6">
                  <c:v>51.04</c:v>
                </c:pt>
                <c:pt idx="7">
                  <c:v>49.28</c:v>
                </c:pt>
                <c:pt idx="8">
                  <c:v>46.64</c:v>
                </c:pt>
                <c:pt idx="9">
                  <c:v>44.88</c:v>
                </c:pt>
                <c:pt idx="10" formatCode="0.0">
                  <c:v>43.12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9BAA-4F17-BB58-DC2989E25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6039800"/>
        <c:axId val="1"/>
      </c:scatterChart>
      <c:valAx>
        <c:axId val="496039800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Körpergewicht kg</a:t>
                </a:r>
              </a:p>
            </c:rich>
          </c:tx>
          <c:overlay val="0"/>
        </c:title>
        <c:numFmt formatCode="0.00" sourceLinked="1"/>
        <c:majorTickMark val="out"/>
        <c:minorTickMark val="in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crossBetween val="midCat"/>
        <c:majorUnit val="1"/>
        <c:minorUnit val="0.5"/>
      </c:valAx>
      <c:valAx>
        <c:axId val="1"/>
        <c:scaling>
          <c:orientation val="minMax"/>
        </c:scaling>
        <c:delete val="0"/>
        <c:axPos val="l"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50"/>
                  <a:t>Energieverbrauch </a:t>
                </a:r>
                <a:r>
                  <a:rPr lang="en-US"/>
                  <a:t>kcal</a:t>
                </a:r>
              </a:p>
            </c:rich>
          </c:tx>
          <c:layout>
            <c:manualLayout>
              <c:xMode val="edge"/>
              <c:yMode val="edge"/>
              <c:x val="0.25647072509288138"/>
              <c:y val="0.27741457732148123"/>
            </c:manualLayout>
          </c:layout>
          <c:overlay val="0"/>
        </c:title>
        <c:numFmt formatCode="0" sourceLinked="1"/>
        <c:majorTickMark val="out"/>
        <c:minorTickMark val="out"/>
        <c:tickLblPos val="nextTo"/>
        <c:crossAx val="496039800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2.2160664819944598E-2"/>
          <c:y val="0.61132388838135565"/>
          <c:w val="0.26638151532997434"/>
          <c:h val="0.32738272356839371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714375</xdr:colOff>
      <xdr:row>1</xdr:row>
      <xdr:rowOff>9525</xdr:rowOff>
    </xdr:from>
    <xdr:to>
      <xdr:col>42</xdr:col>
      <xdr:colOff>257175</xdr:colOff>
      <xdr:row>14</xdr:row>
      <xdr:rowOff>123825</xdr:rowOff>
    </xdr:to>
    <xdr:graphicFrame macro="">
      <xdr:nvGraphicFramePr>
        <xdr:cNvPr id="1352" name="Diagramm 1">
          <a:extLst>
            <a:ext uri="{FF2B5EF4-FFF2-40B4-BE49-F238E27FC236}">
              <a16:creationId xmlns:a16="http://schemas.microsoft.com/office/drawing/2014/main" id="{7B9A016B-4807-C4D1-68FF-6865BCB419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95250</xdr:colOff>
      <xdr:row>11</xdr:row>
      <xdr:rowOff>38100</xdr:rowOff>
    </xdr:from>
    <xdr:to>
      <xdr:col>20</xdr:col>
      <xdr:colOff>476250</xdr:colOff>
      <xdr:row>43</xdr:row>
      <xdr:rowOff>123825</xdr:rowOff>
    </xdr:to>
    <xdr:pic>
      <xdr:nvPicPr>
        <xdr:cNvPr id="1353" name="Grafik 1">
          <a:extLst>
            <a:ext uri="{FF2B5EF4-FFF2-40B4-BE49-F238E27FC236}">
              <a16:creationId xmlns:a16="http://schemas.microsoft.com/office/drawing/2014/main" id="{AF407F0A-3CF9-3C43-ADF5-1E3D66D2C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4050" y="4619625"/>
          <a:ext cx="7067550" cy="542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8"/>
  <sheetViews>
    <sheetView tabSelected="1" workbookViewId="0">
      <selection activeCell="C3" sqref="C3"/>
    </sheetView>
  </sheetViews>
  <sheetFormatPr baseColWidth="10" defaultColWidth="11" defaultRowHeight="12.75" x14ac:dyDescent="0.2"/>
  <cols>
    <col min="1" max="1" width="46.5703125" customWidth="1"/>
    <col min="2" max="2" width="15.140625" customWidth="1"/>
    <col min="3" max="3" width="11.7109375" customWidth="1"/>
    <col min="4" max="4" width="7.42578125" style="2" customWidth="1"/>
    <col min="5" max="5" width="8.28515625" style="1" customWidth="1"/>
    <col min="6" max="6" width="3.42578125" style="1" customWidth="1"/>
    <col min="7" max="7" width="18.28515625" style="1" customWidth="1"/>
    <col min="8" max="8" width="7.140625" style="1" customWidth="1"/>
    <col min="9" max="10" width="5.42578125" style="1" customWidth="1"/>
    <col min="11" max="12" width="5.140625" style="1" customWidth="1"/>
    <col min="13" max="13" width="5.42578125" style="1" customWidth="1"/>
    <col min="14" max="14" width="5.140625" style="1" customWidth="1"/>
    <col min="15" max="15" width="5.140625" style="2" customWidth="1"/>
    <col min="16" max="16" width="5.7109375" style="2" customWidth="1"/>
    <col min="17" max="17" width="5.140625" style="2" customWidth="1"/>
    <col min="18" max="18" width="4.85546875" style="2" customWidth="1"/>
    <col min="19" max="19" width="5.42578125" style="2" customWidth="1"/>
    <col min="20" max="20" width="13.42578125" style="4" customWidth="1"/>
    <col min="21" max="21" width="8.85546875" style="4" customWidth="1"/>
    <col min="22" max="22" width="10.5703125" customWidth="1"/>
    <col min="23" max="23" width="9.7109375" customWidth="1"/>
    <col min="24" max="24" width="20.5703125" customWidth="1"/>
  </cols>
  <sheetData>
    <row r="1" spans="1:22" ht="13.5" thickBot="1" x14ac:dyDescent="0.25">
      <c r="B1" s="3" t="s">
        <v>23</v>
      </c>
      <c r="S1"/>
    </row>
    <row r="2" spans="1:22" ht="33.75" customHeight="1" thickTop="1" thickBot="1" x14ac:dyDescent="0.25">
      <c r="A2" s="7" t="s">
        <v>13</v>
      </c>
      <c r="B2" s="37">
        <v>5</v>
      </c>
      <c r="C2" s="1" t="s">
        <v>14</v>
      </c>
      <c r="G2" s="106" t="s">
        <v>29</v>
      </c>
      <c r="H2" s="107"/>
      <c r="I2" s="107"/>
      <c r="J2" s="107"/>
      <c r="K2" s="107"/>
      <c r="L2" s="107"/>
      <c r="M2" s="107"/>
      <c r="N2" s="107"/>
      <c r="O2" s="108"/>
      <c r="P2" s="108"/>
      <c r="Q2" s="108"/>
      <c r="R2" s="108"/>
      <c r="S2" s="109"/>
      <c r="T2" s="5"/>
      <c r="V2" s="1"/>
    </row>
    <row r="3" spans="1:22" ht="36.75" customHeight="1" thickTop="1" thickBot="1" x14ac:dyDescent="0.25">
      <c r="A3" s="8" t="s">
        <v>30</v>
      </c>
      <c r="B3" s="37">
        <v>59</v>
      </c>
      <c r="C3" s="1" t="s">
        <v>12</v>
      </c>
      <c r="G3" s="29" t="s">
        <v>43</v>
      </c>
      <c r="H3" s="30" t="s">
        <v>45</v>
      </c>
      <c r="I3" s="31">
        <v>2.25</v>
      </c>
      <c r="J3" s="30">
        <v>3</v>
      </c>
      <c r="K3" s="30">
        <v>3.5</v>
      </c>
      <c r="L3" s="30">
        <v>4</v>
      </c>
      <c r="M3" s="32">
        <v>4.53</v>
      </c>
      <c r="N3" s="32">
        <v>5</v>
      </c>
      <c r="O3" s="32">
        <v>5.5</v>
      </c>
      <c r="P3" s="32">
        <v>6</v>
      </c>
      <c r="Q3" s="32">
        <v>7</v>
      </c>
      <c r="R3" s="33">
        <v>8</v>
      </c>
      <c r="S3" s="34">
        <v>9</v>
      </c>
      <c r="T3" s="2"/>
    </row>
    <row r="4" spans="1:22" ht="46.5" customHeight="1" thickTop="1" thickBot="1" x14ac:dyDescent="0.25">
      <c r="A4" s="10" t="s">
        <v>53</v>
      </c>
      <c r="B4" s="37">
        <v>0</v>
      </c>
      <c r="G4" s="35" t="s">
        <v>46</v>
      </c>
      <c r="H4" s="13">
        <v>183</v>
      </c>
      <c r="I4" s="13"/>
      <c r="J4" s="13"/>
      <c r="K4" s="13"/>
      <c r="L4" s="13"/>
      <c r="M4" s="14"/>
      <c r="N4" s="14"/>
      <c r="O4" s="14"/>
      <c r="P4" s="14"/>
      <c r="Q4" s="14"/>
      <c r="R4" s="24"/>
      <c r="S4" s="18"/>
      <c r="T4" s="2"/>
    </row>
    <row r="5" spans="1:22" ht="33" customHeight="1" thickTop="1" x14ac:dyDescent="0.2">
      <c r="A5" s="106"/>
      <c r="B5" s="107"/>
      <c r="C5" s="107"/>
      <c r="D5" s="28"/>
      <c r="G5" s="35" t="s">
        <v>47</v>
      </c>
      <c r="H5" s="13">
        <v>139</v>
      </c>
      <c r="I5" s="13"/>
      <c r="J5" s="13"/>
      <c r="K5" s="13"/>
      <c r="L5" s="13"/>
      <c r="M5" s="14"/>
      <c r="N5" s="14"/>
      <c r="O5" s="14"/>
      <c r="P5" s="14"/>
      <c r="Q5" s="14"/>
      <c r="R5" s="24"/>
      <c r="S5" s="18"/>
      <c r="T5" s="2"/>
    </row>
    <row r="6" spans="1:22" ht="24.75" customHeight="1" x14ac:dyDescent="0.2">
      <c r="A6" s="6" t="s">
        <v>37</v>
      </c>
      <c r="B6" s="38">
        <f>IF(B4=0,B2*1000*0.477/100,IF(B4=1,B2*1000*1.23/100,IF(B4=2,B2*1000*1/100,"bitte Feld B4 ueberpruefen")))</f>
        <v>23.85</v>
      </c>
      <c r="C6" s="6" t="s">
        <v>15</v>
      </c>
      <c r="D6" s="15"/>
      <c r="E6" s="16"/>
      <c r="G6" s="35" t="s">
        <v>48</v>
      </c>
      <c r="H6" s="13">
        <v>100</v>
      </c>
      <c r="I6" s="13">
        <v>100</v>
      </c>
      <c r="J6" s="13">
        <v>100</v>
      </c>
      <c r="K6" s="13"/>
      <c r="L6" s="13"/>
      <c r="M6" s="13"/>
      <c r="N6" s="13"/>
      <c r="O6" s="13"/>
      <c r="P6" s="13"/>
      <c r="Q6" s="13" t="s">
        <v>28</v>
      </c>
      <c r="R6" s="25"/>
      <c r="S6" s="19"/>
      <c r="T6" s="2"/>
    </row>
    <row r="7" spans="1:22" ht="24.75" customHeight="1" x14ac:dyDescent="0.2">
      <c r="A7" s="6" t="s">
        <v>38</v>
      </c>
      <c r="B7" s="38">
        <f>IF(B4=0,B2*1000*0.15/100,IF(B4=1,B2*1000*0.5/100,IF(B4=2,B2*1000*0.31/100,"bitte Feld B4 ueberpruefen!")))</f>
        <v>7.5</v>
      </c>
      <c r="C7" s="6" t="s">
        <v>15</v>
      </c>
      <c r="D7" s="15"/>
      <c r="E7" s="16"/>
      <c r="G7" s="35" t="s">
        <v>44</v>
      </c>
      <c r="H7" s="13"/>
      <c r="I7" s="13">
        <v>80</v>
      </c>
      <c r="J7" s="13">
        <v>80</v>
      </c>
      <c r="K7" s="13">
        <v>80</v>
      </c>
      <c r="L7" s="13">
        <v>80</v>
      </c>
      <c r="M7" s="13"/>
      <c r="N7" s="13"/>
      <c r="O7" s="13"/>
      <c r="P7" s="13"/>
      <c r="Q7" s="13"/>
      <c r="R7" s="25"/>
      <c r="S7" s="19"/>
      <c r="T7" s="2"/>
    </row>
    <row r="8" spans="1:22" ht="30.75" customHeight="1" x14ac:dyDescent="0.2">
      <c r="G8" s="35" t="s">
        <v>40</v>
      </c>
      <c r="H8" s="13"/>
      <c r="I8" s="13"/>
      <c r="J8" s="13">
        <v>70</v>
      </c>
      <c r="K8" s="13">
        <v>67</v>
      </c>
      <c r="L8" s="13">
        <v>64</v>
      </c>
      <c r="M8" s="13">
        <v>62</v>
      </c>
      <c r="N8" s="13">
        <v>59</v>
      </c>
      <c r="O8" s="13">
        <v>58</v>
      </c>
      <c r="P8" s="13">
        <v>56</v>
      </c>
      <c r="Q8" s="13">
        <v>53</v>
      </c>
      <c r="R8" s="25">
        <v>51</v>
      </c>
      <c r="S8" s="20">
        <v>49</v>
      </c>
      <c r="T8" s="2"/>
    </row>
    <row r="9" spans="1:22" ht="23.25" customHeight="1" x14ac:dyDescent="0.2">
      <c r="A9" s="6"/>
      <c r="B9" s="6"/>
      <c r="C9" s="17" t="s">
        <v>26</v>
      </c>
      <c r="D9" s="15"/>
      <c r="E9" s="16"/>
      <c r="G9" s="35" t="s">
        <v>49</v>
      </c>
      <c r="H9" s="13"/>
      <c r="I9" s="13"/>
      <c r="J9" s="13">
        <f>J8*0.88</f>
        <v>61.6</v>
      </c>
      <c r="K9" s="13">
        <f t="shared" ref="K9:S9" si="0">K8*0.88</f>
        <v>58.96</v>
      </c>
      <c r="L9" s="13">
        <f t="shared" si="0"/>
        <v>56.32</v>
      </c>
      <c r="M9" s="13">
        <f t="shared" si="0"/>
        <v>54.56</v>
      </c>
      <c r="N9" s="13">
        <f t="shared" si="0"/>
        <v>51.92</v>
      </c>
      <c r="O9" s="13">
        <f t="shared" si="0"/>
        <v>51.04</v>
      </c>
      <c r="P9" s="13">
        <f t="shared" si="0"/>
        <v>49.28</v>
      </c>
      <c r="Q9" s="13">
        <f t="shared" si="0"/>
        <v>46.64</v>
      </c>
      <c r="R9" s="13">
        <f t="shared" si="0"/>
        <v>44.88</v>
      </c>
      <c r="S9" s="18">
        <f t="shared" si="0"/>
        <v>43.12</v>
      </c>
      <c r="T9" s="2"/>
    </row>
    <row r="10" spans="1:22" ht="28.5" customHeight="1" x14ac:dyDescent="0.25">
      <c r="A10" s="6" t="s">
        <v>36</v>
      </c>
      <c r="B10" s="39">
        <f>IF(B4=1,B3*B2*1.5,IF(B4=2,B3*B2*2,B3*B2*0.9))</f>
        <v>265.5</v>
      </c>
      <c r="C10" s="40" t="s">
        <v>42</v>
      </c>
      <c r="D10" s="39">
        <f>B10*4.19</f>
        <v>1112.4450000000002</v>
      </c>
      <c r="E10" s="41" t="s">
        <v>16</v>
      </c>
      <c r="G10" s="35" t="s">
        <v>41</v>
      </c>
      <c r="H10" s="13"/>
      <c r="I10" s="13"/>
      <c r="J10" s="13">
        <v>68</v>
      </c>
      <c r="K10" s="13">
        <v>61</v>
      </c>
      <c r="L10" s="13">
        <v>56</v>
      </c>
      <c r="M10" s="13">
        <v>53</v>
      </c>
      <c r="N10" s="13">
        <v>50</v>
      </c>
      <c r="O10" s="13">
        <v>46</v>
      </c>
      <c r="P10" s="13">
        <v>44</v>
      </c>
      <c r="Q10" s="13">
        <v>41</v>
      </c>
      <c r="R10" s="25">
        <v>38</v>
      </c>
      <c r="S10" s="20">
        <v>34</v>
      </c>
      <c r="T10" s="2"/>
    </row>
    <row r="11" spans="1:22" ht="30.75" customHeight="1" thickBot="1" x14ac:dyDescent="0.25">
      <c r="A11" s="27" t="s">
        <v>54</v>
      </c>
      <c r="B11" s="9" t="s">
        <v>156</v>
      </c>
      <c r="C11" s="6" t="s">
        <v>157</v>
      </c>
      <c r="D11" s="23">
        <v>4.1870000000000003</v>
      </c>
      <c r="E11" s="15" t="s">
        <v>16</v>
      </c>
      <c r="G11" s="36" t="s">
        <v>39</v>
      </c>
      <c r="H11" s="21"/>
      <c r="I11" s="21"/>
      <c r="J11" s="21">
        <v>143</v>
      </c>
      <c r="K11" s="21">
        <v>140</v>
      </c>
      <c r="L11" s="21">
        <v>138</v>
      </c>
      <c r="M11" s="21">
        <v>134</v>
      </c>
      <c r="N11" s="21">
        <v>132</v>
      </c>
      <c r="O11" s="21">
        <v>130</v>
      </c>
      <c r="P11" s="21">
        <v>128</v>
      </c>
      <c r="Q11" s="21">
        <v>125</v>
      </c>
      <c r="R11" s="26">
        <v>123</v>
      </c>
      <c r="S11" s="22">
        <v>121</v>
      </c>
      <c r="T11" s="12"/>
    </row>
    <row r="12" spans="1:22" ht="25.5" customHeight="1" thickTop="1" x14ac:dyDescent="0.2"/>
    <row r="15" spans="1:22" x14ac:dyDescent="0.2">
      <c r="A15" t="s">
        <v>139</v>
      </c>
    </row>
    <row r="17" spans="1:1" x14ac:dyDescent="0.2">
      <c r="A17" s="11" t="s">
        <v>140</v>
      </c>
    </row>
    <row r="19" spans="1:1" x14ac:dyDescent="0.2">
      <c r="A19" s="11" t="s">
        <v>141</v>
      </c>
    </row>
    <row r="21" spans="1:1" x14ac:dyDescent="0.2">
      <c r="A21" t="s">
        <v>142</v>
      </c>
    </row>
    <row r="51" spans="1:19" ht="15.75" customHeight="1" x14ac:dyDescent="0.2">
      <c r="D51"/>
      <c r="E51"/>
      <c r="F51"/>
      <c r="G51"/>
      <c r="H51"/>
      <c r="I51"/>
      <c r="J51"/>
      <c r="K51"/>
      <c r="L51"/>
      <c r="M51"/>
      <c r="N51"/>
      <c r="Q51" s="12"/>
      <c r="R51" s="12"/>
      <c r="S51" s="12"/>
    </row>
    <row r="52" spans="1:19" x14ac:dyDescent="0.2">
      <c r="D52"/>
      <c r="E52"/>
      <c r="F52"/>
      <c r="G52"/>
      <c r="H52"/>
      <c r="I52"/>
      <c r="J52"/>
      <c r="K52"/>
      <c r="L52"/>
      <c r="M52"/>
      <c r="N52"/>
    </row>
    <row r="53" spans="1:19" x14ac:dyDescent="0.2">
      <c r="D53"/>
      <c r="E53"/>
      <c r="F53"/>
      <c r="G53"/>
      <c r="H53"/>
      <c r="I53"/>
      <c r="J53"/>
      <c r="K53"/>
      <c r="L53"/>
      <c r="M53"/>
      <c r="N53"/>
      <c r="O53" s="12"/>
      <c r="P53" s="12"/>
    </row>
    <row r="54" spans="1:19" x14ac:dyDescent="0.2">
      <c r="D54"/>
      <c r="E54"/>
      <c r="F54"/>
      <c r="G54"/>
      <c r="H54"/>
      <c r="I54"/>
      <c r="J54"/>
      <c r="K54"/>
      <c r="L54"/>
      <c r="M54"/>
      <c r="N54"/>
    </row>
    <row r="55" spans="1:19" x14ac:dyDescent="0.2">
      <c r="D55"/>
      <c r="E55"/>
      <c r="F55"/>
      <c r="G55"/>
      <c r="H55"/>
      <c r="I55"/>
      <c r="J55"/>
      <c r="K55"/>
      <c r="L55"/>
      <c r="M55"/>
      <c r="N55"/>
    </row>
    <row r="56" spans="1:19" x14ac:dyDescent="0.2">
      <c r="D56"/>
      <c r="E56"/>
      <c r="F56"/>
      <c r="G56"/>
      <c r="H56"/>
      <c r="I56"/>
      <c r="J56"/>
      <c r="K56"/>
      <c r="L56"/>
      <c r="M56"/>
      <c r="N56"/>
    </row>
    <row r="57" spans="1:19" x14ac:dyDescent="0.2">
      <c r="D57"/>
      <c r="E57"/>
      <c r="F57"/>
      <c r="G57"/>
      <c r="H57"/>
      <c r="I57"/>
      <c r="J57"/>
      <c r="K57"/>
      <c r="L57"/>
      <c r="M57"/>
      <c r="N57"/>
    </row>
    <row r="58" spans="1:19" ht="17.25" customHeight="1" x14ac:dyDescent="0.2">
      <c r="D58"/>
      <c r="E58"/>
      <c r="F58"/>
      <c r="G58"/>
      <c r="H58"/>
      <c r="I58"/>
      <c r="J58"/>
      <c r="K58"/>
      <c r="L58"/>
      <c r="M58"/>
      <c r="N58"/>
    </row>
    <row r="59" spans="1:19" x14ac:dyDescent="0.2">
      <c r="D59"/>
      <c r="E59"/>
      <c r="F59"/>
      <c r="G59"/>
      <c r="H59"/>
      <c r="I59"/>
      <c r="J59"/>
      <c r="K59"/>
      <c r="L59"/>
      <c r="M59"/>
      <c r="N59"/>
    </row>
    <row r="60" spans="1:19" ht="20.25" customHeight="1" x14ac:dyDescent="0.2">
      <c r="D60"/>
      <c r="E60"/>
      <c r="F60"/>
      <c r="G60"/>
      <c r="H60"/>
      <c r="I60"/>
      <c r="J60"/>
      <c r="K60"/>
      <c r="L60"/>
      <c r="M60"/>
      <c r="N60"/>
    </row>
    <row r="61" spans="1:19" ht="15.75" customHeight="1" x14ac:dyDescent="0.2">
      <c r="A61" s="10"/>
    </row>
    <row r="62" spans="1:19" x14ac:dyDescent="0.2">
      <c r="A62" s="11"/>
    </row>
    <row r="64" spans="1:19" x14ac:dyDescent="0.2">
      <c r="A64" s="11"/>
    </row>
    <row r="65" spans="1:1" x14ac:dyDescent="0.2">
      <c r="A65" s="11"/>
    </row>
    <row r="66" spans="1:1" x14ac:dyDescent="0.2">
      <c r="A66" s="11"/>
    </row>
    <row r="67" spans="1:1" x14ac:dyDescent="0.2">
      <c r="A67" s="11"/>
    </row>
    <row r="68" spans="1:1" x14ac:dyDescent="0.2">
      <c r="A68" s="11"/>
    </row>
  </sheetData>
  <sheetProtection algorithmName="SHA-512" hashValue="7qjLh9E1zH5zzQimU6iS/fGievdE+Z0irqFeqzp7pHv6D5fU5ix9KcC6N9IWyddybPBWaeeSy/2AuB1asfHoCQ==" saltValue="wGskHWSaGAZDMItaKrU48w==" spinCount="100000" sheet="1" scenarios="1"/>
  <mergeCells count="2">
    <mergeCell ref="G2:S2"/>
    <mergeCell ref="A5:C5"/>
  </mergeCells>
  <phoneticPr fontId="0" type="noConversion"/>
  <printOptions gridLines="1"/>
  <pageMargins left="0.41" right="0.36" top="0.984251969" bottom="0.984251969" header="0.4921259845" footer="0.4921259845"/>
  <pageSetup paperSize="9" scale="8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6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1" sqref="C11"/>
    </sheetView>
  </sheetViews>
  <sheetFormatPr baseColWidth="10" defaultColWidth="14.140625" defaultRowHeight="12.75" x14ac:dyDescent="0.2"/>
  <cols>
    <col min="1" max="1" width="29.5703125" customWidth="1"/>
    <col min="2" max="2" width="14.140625" customWidth="1"/>
    <col min="3" max="3" width="14.42578125" style="57" customWidth="1"/>
    <col min="4" max="4" width="6.85546875" style="58" customWidth="1"/>
    <col min="5" max="5" width="9" customWidth="1"/>
    <col min="6" max="6" width="7.85546875" customWidth="1"/>
    <col min="7" max="7" width="6.7109375" customWidth="1"/>
    <col min="8" max="8" width="6.85546875" customWidth="1"/>
    <col min="9" max="9" width="6.5703125" customWidth="1"/>
    <col min="10" max="10" width="11.28515625" customWidth="1"/>
    <col min="11" max="11" width="9.28515625" customWidth="1"/>
    <col min="12" max="12" width="14.140625" customWidth="1"/>
    <col min="13" max="13" width="13.5703125" customWidth="1"/>
    <col min="14" max="14" width="7.7109375" customWidth="1"/>
    <col min="15" max="15" width="12.28515625" style="58" customWidth="1"/>
    <col min="16" max="16" width="9.140625" style="58" customWidth="1"/>
    <col min="17" max="17" width="17.85546875" style="58" customWidth="1"/>
    <col min="18" max="18" width="13.7109375" style="45" customWidth="1"/>
  </cols>
  <sheetData>
    <row r="1" spans="1:18" ht="65.25" customHeight="1" thickBot="1" x14ac:dyDescent="0.3">
      <c r="A1" s="61" t="s">
        <v>158</v>
      </c>
      <c r="B1" s="3" t="s">
        <v>150</v>
      </c>
      <c r="C1" s="42" t="s">
        <v>136</v>
      </c>
      <c r="D1" s="62"/>
      <c r="E1" s="43"/>
      <c r="F1" s="63"/>
      <c r="G1" s="63"/>
      <c r="H1" s="63"/>
      <c r="I1" s="63"/>
      <c r="J1" s="44" t="s">
        <v>27</v>
      </c>
      <c r="K1" s="64"/>
      <c r="L1" s="65"/>
      <c r="M1" s="66"/>
      <c r="N1" s="66"/>
      <c r="O1" s="110"/>
      <c r="P1" s="111"/>
      <c r="Q1" s="111"/>
      <c r="R1" s="67"/>
    </row>
    <row r="2" spans="1:18" s="46" customFormat="1" ht="156.75" customHeight="1" thickBot="1" x14ac:dyDescent="0.25">
      <c r="A2" s="46" t="s">
        <v>164</v>
      </c>
      <c r="B2" s="46" t="s">
        <v>138</v>
      </c>
      <c r="C2" s="46" t="s">
        <v>160</v>
      </c>
      <c r="D2" s="47" t="s">
        <v>162</v>
      </c>
      <c r="E2" s="68" t="s">
        <v>32</v>
      </c>
      <c r="F2" s="68" t="s">
        <v>1</v>
      </c>
      <c r="G2" s="68" t="s">
        <v>2</v>
      </c>
      <c r="H2" s="68" t="s">
        <v>8</v>
      </c>
      <c r="I2" s="68" t="s">
        <v>20</v>
      </c>
      <c r="J2" s="69" t="s">
        <v>17</v>
      </c>
      <c r="K2" s="69" t="s">
        <v>161</v>
      </c>
      <c r="L2" s="69" t="s">
        <v>165</v>
      </c>
      <c r="M2" s="69" t="s">
        <v>166</v>
      </c>
      <c r="N2" s="69" t="s">
        <v>163</v>
      </c>
      <c r="O2" s="48" t="str">
        <f>Grunddaten!$B$7&amp;"g mind. Fettgehalt erreicht?    Fett ist energiereich und für fettlösliche vitamine nötig"</f>
        <v>7,5g mind. Fettgehalt erreicht?    Fett ist energiereich und für fettlösliche vitamine nötig</v>
      </c>
      <c r="P2" s="48" t="str">
        <f>Grunddaten!$B$6&amp;"g mind. Protein-gehalt erreicht? "</f>
        <v xml:space="preserve">23,85g mind. Protein-gehalt erreicht? </v>
      </c>
      <c r="Q2" s="48" t="s">
        <v>167</v>
      </c>
      <c r="R2" s="49" t="s">
        <v>72</v>
      </c>
    </row>
    <row r="3" spans="1:18" s="46" customFormat="1" ht="21.75" customHeight="1" thickBot="1" x14ac:dyDescent="0.25">
      <c r="A3" s="50" t="s">
        <v>25</v>
      </c>
      <c r="D3" s="56"/>
      <c r="E3" s="51" t="s">
        <v>55</v>
      </c>
      <c r="F3" s="51" t="s">
        <v>55</v>
      </c>
      <c r="G3" s="51" t="s">
        <v>55</v>
      </c>
      <c r="H3" s="51" t="s">
        <v>55</v>
      </c>
      <c r="I3" s="51" t="s">
        <v>55</v>
      </c>
      <c r="J3" s="52"/>
      <c r="K3" s="53"/>
      <c r="L3" s="54"/>
      <c r="M3" s="51" t="s">
        <v>55</v>
      </c>
      <c r="N3" s="55"/>
      <c r="O3" s="56"/>
      <c r="P3" s="56"/>
      <c r="Q3" s="56"/>
      <c r="R3" s="49"/>
    </row>
    <row r="4" spans="1:18" s="104" customFormat="1" ht="23.25" customHeight="1" thickBot="1" x14ac:dyDescent="0.25">
      <c r="A4" s="70" t="s">
        <v>126</v>
      </c>
      <c r="B4" s="71" t="s">
        <v>127</v>
      </c>
      <c r="C4" s="72" t="s">
        <v>80</v>
      </c>
      <c r="D4" s="73">
        <v>1100</v>
      </c>
      <c r="E4" s="74">
        <v>80</v>
      </c>
      <c r="F4" s="75">
        <v>11</v>
      </c>
      <c r="G4" s="75">
        <v>4</v>
      </c>
      <c r="H4" s="75">
        <v>0</v>
      </c>
      <c r="I4" s="75">
        <v>3</v>
      </c>
      <c r="J4" s="76">
        <f t="shared" ref="J4:J42" si="0">IF(SUM(E4:I4)&lt;92,"falsche Werte",((24*F4+38*G4+17*H4+17*(K4*(100-E4)/100)*(87.9-(0.88*H4*100/(100-E4)))/100-(3.1*F4))/4.19))</f>
        <v>98.278281622911692</v>
      </c>
      <c r="K4" s="75">
        <f t="shared" ref="K4:K42" si="1">IF((100-F4-G4-H4-I4-E4)&lt;0, 0,(100-F4-G4-H4-I4-E4)*100/(100-E4))</f>
        <v>10</v>
      </c>
      <c r="L4" s="77">
        <f>Grunddaten!$B$10/J4*100</f>
        <v>270.15124360711633</v>
      </c>
      <c r="M4" s="78">
        <v>1.06</v>
      </c>
      <c r="N4" s="78">
        <f t="shared" ref="N4:N42" si="2">L4*M4/100</f>
        <v>2.8636031822354333</v>
      </c>
      <c r="O4" s="79" t="str">
        <f>IF(L4*G4/100&lt;Grunddaten!B$7,"zuwenig","ok")</f>
        <v>ok</v>
      </c>
      <c r="P4" s="79" t="str">
        <f>IF(L4*F4/100&lt;Grunddaten!B$6*0.85,"zuwenig","ok")</f>
        <v>ok</v>
      </c>
      <c r="Q4" s="79" t="str">
        <f t="shared" ref="Q4:Q14" si="3">IF(K4&lt;=12,"gut","schlecht")</f>
        <v>gut</v>
      </c>
      <c r="R4" s="80"/>
    </row>
    <row r="5" spans="1:18" s="104" customFormat="1" ht="23.25" customHeight="1" thickBot="1" x14ac:dyDescent="0.25">
      <c r="A5" s="70" t="s">
        <v>69</v>
      </c>
      <c r="B5" s="81" t="s">
        <v>35</v>
      </c>
      <c r="C5" s="74" t="s">
        <v>62</v>
      </c>
      <c r="D5" s="73">
        <v>800</v>
      </c>
      <c r="E5" s="74">
        <v>80</v>
      </c>
      <c r="F5" s="74">
        <v>11</v>
      </c>
      <c r="G5" s="74">
        <v>6</v>
      </c>
      <c r="H5" s="74">
        <v>0.3</v>
      </c>
      <c r="I5" s="74">
        <v>1.7</v>
      </c>
      <c r="J5" s="76">
        <f t="shared" si="0"/>
        <v>114.01398568019091</v>
      </c>
      <c r="K5" s="74">
        <f t="shared" si="1"/>
        <v>5</v>
      </c>
      <c r="L5" s="77">
        <f>Grunddaten!$B$10/J5*100</f>
        <v>232.86616849333481</v>
      </c>
      <c r="M5" s="78">
        <v>0.38</v>
      </c>
      <c r="N5" s="78">
        <f t="shared" si="2"/>
        <v>0.88489144027467237</v>
      </c>
      <c r="O5" s="79" t="str">
        <f>IF(L5*G5/100&lt;Grunddaten!B$7,"zuwenig","ok")</f>
        <v>ok</v>
      </c>
      <c r="P5" s="79" t="str">
        <f>IF(L5*F5/100&lt;Grunddaten!B$6*0.85,"zuwenig","ok")</f>
        <v>ok</v>
      </c>
      <c r="Q5" s="79" t="str">
        <f t="shared" si="3"/>
        <v>gut</v>
      </c>
      <c r="R5" s="80" t="s">
        <v>73</v>
      </c>
    </row>
    <row r="6" spans="1:18" s="85" customFormat="1" ht="18.75" customHeight="1" thickBot="1" x14ac:dyDescent="0.25">
      <c r="A6" s="70" t="s">
        <v>102</v>
      </c>
      <c r="B6" s="81" t="s">
        <v>18</v>
      </c>
      <c r="C6" s="72" t="s">
        <v>62</v>
      </c>
      <c r="D6" s="73">
        <v>800</v>
      </c>
      <c r="E6" s="74">
        <v>79</v>
      </c>
      <c r="F6" s="75">
        <v>11.5</v>
      </c>
      <c r="G6" s="75">
        <v>6.5</v>
      </c>
      <c r="H6" s="75">
        <v>0.5</v>
      </c>
      <c r="I6" s="75">
        <v>1.8</v>
      </c>
      <c r="J6" s="76">
        <f t="shared" si="0"/>
        <v>120.77822593476532</v>
      </c>
      <c r="K6" s="75">
        <f t="shared" si="1"/>
        <v>3.3333333333333468</v>
      </c>
      <c r="L6" s="77">
        <f>Grunddaten!$B$10/J6*100</f>
        <v>219.82439131321715</v>
      </c>
      <c r="M6" s="78">
        <v>0.47</v>
      </c>
      <c r="N6" s="78">
        <f t="shared" si="2"/>
        <v>1.0331746391721206</v>
      </c>
      <c r="O6" s="79" t="str">
        <f>IF(L6*G6/100&lt;Grunddaten!B$7,"zuwenig","ok")</f>
        <v>ok</v>
      </c>
      <c r="P6" s="79" t="str">
        <f>IF(L6*F6/100&lt;Grunddaten!B$6*0.85,"zuwenig","ok")</f>
        <v>ok</v>
      </c>
      <c r="Q6" s="79" t="str">
        <f t="shared" si="3"/>
        <v>gut</v>
      </c>
      <c r="R6" s="80"/>
    </row>
    <row r="7" spans="1:18" s="90" customFormat="1" ht="13.5" thickBot="1" x14ac:dyDescent="0.25">
      <c r="A7" s="70" t="s">
        <v>82</v>
      </c>
      <c r="B7" s="71"/>
      <c r="C7" s="72" t="s">
        <v>80</v>
      </c>
      <c r="D7" s="73">
        <v>800</v>
      </c>
      <c r="E7" s="75">
        <v>80</v>
      </c>
      <c r="F7" s="75">
        <v>10</v>
      </c>
      <c r="G7" s="75">
        <v>7</v>
      </c>
      <c r="H7" s="75">
        <v>0.4</v>
      </c>
      <c r="I7" s="75">
        <v>1.8</v>
      </c>
      <c r="J7" s="76">
        <f t="shared" si="0"/>
        <v>117.78401909307873</v>
      </c>
      <c r="K7" s="75">
        <f t="shared" si="1"/>
        <v>3.9999999999999858</v>
      </c>
      <c r="L7" s="77">
        <f>Grunddaten!$B$10/J7*100</f>
        <v>225.41258317071762</v>
      </c>
      <c r="M7" s="78">
        <v>0.45</v>
      </c>
      <c r="N7" s="78">
        <f t="shared" si="2"/>
        <v>1.0143566242682294</v>
      </c>
      <c r="O7" s="79" t="str">
        <f>IF(L7*G7/100&lt;Grunddaten!B$7,"zuwenig","ok")</f>
        <v>ok</v>
      </c>
      <c r="P7" s="79" t="str">
        <f>IF(L7*F7/100&lt;Grunddaten!B$6*0.85,"zuwenig","ok")</f>
        <v>ok</v>
      </c>
      <c r="Q7" s="79" t="str">
        <f t="shared" si="3"/>
        <v>gut</v>
      </c>
      <c r="R7" s="80" t="s">
        <v>73</v>
      </c>
    </row>
    <row r="8" spans="1:18" s="90" customFormat="1" ht="13.5" thickBot="1" x14ac:dyDescent="0.25">
      <c r="A8" s="70" t="s">
        <v>19</v>
      </c>
      <c r="B8" s="82" t="s">
        <v>101</v>
      </c>
      <c r="C8" s="72" t="s">
        <v>4</v>
      </c>
      <c r="D8" s="73">
        <v>770</v>
      </c>
      <c r="E8" s="75">
        <v>83</v>
      </c>
      <c r="F8" s="75">
        <v>7.5</v>
      </c>
      <c r="G8" s="75">
        <v>5</v>
      </c>
      <c r="H8" s="75">
        <v>0.5</v>
      </c>
      <c r="I8" s="75">
        <v>2</v>
      </c>
      <c r="J8" s="76">
        <f t="shared" si="0"/>
        <v>91.707875894988049</v>
      </c>
      <c r="K8" s="75">
        <f t="shared" si="1"/>
        <v>11.764705882352942</v>
      </c>
      <c r="L8" s="77">
        <f>Grunddaten!$B$10/J8*100</f>
        <v>289.50621460692878</v>
      </c>
      <c r="M8" s="78">
        <v>0.44</v>
      </c>
      <c r="N8" s="78">
        <f t="shared" si="2"/>
        <v>1.2738273442704866</v>
      </c>
      <c r="O8" s="79" t="str">
        <f>IF(L8*G8/100&lt;Grunddaten!B$7,"zuwenig","ok")</f>
        <v>ok</v>
      </c>
      <c r="P8" s="79" t="str">
        <f>IF(L8*F8/100&lt;Grunddaten!B$6*0.85,"zuwenig","ok")</f>
        <v>ok</v>
      </c>
      <c r="Q8" s="79" t="str">
        <f t="shared" si="3"/>
        <v>gut</v>
      </c>
      <c r="R8" s="80"/>
    </row>
    <row r="9" spans="1:18" s="90" customFormat="1" ht="13.5" thickBot="1" x14ac:dyDescent="0.25">
      <c r="A9" s="70" t="s">
        <v>57</v>
      </c>
      <c r="B9" s="83" t="s">
        <v>58</v>
      </c>
      <c r="C9" s="72" t="s">
        <v>59</v>
      </c>
      <c r="D9" s="73">
        <v>1500</v>
      </c>
      <c r="E9" s="74">
        <v>80</v>
      </c>
      <c r="F9" s="74">
        <v>11.9</v>
      </c>
      <c r="G9" s="74">
        <v>6</v>
      </c>
      <c r="H9" s="74">
        <v>0.4</v>
      </c>
      <c r="I9" s="74">
        <v>2.2999999999999998</v>
      </c>
      <c r="J9" s="76">
        <f t="shared" si="0"/>
        <v>115.39618138424819</v>
      </c>
      <c r="K9" s="75">
        <f t="shared" si="1"/>
        <v>0</v>
      </c>
      <c r="L9" s="77">
        <f>Grunddaten!$B$10/J9*100</f>
        <v>230.07693739529694</v>
      </c>
      <c r="M9" s="78">
        <v>0.96</v>
      </c>
      <c r="N9" s="78">
        <f t="shared" si="2"/>
        <v>2.2087385989948505</v>
      </c>
      <c r="O9" s="79" t="str">
        <f>IF(L9*G9/100&lt;Grunddaten!B$7,"zuwenig","ok")</f>
        <v>ok</v>
      </c>
      <c r="P9" s="79" t="str">
        <f>IF(L9*F9/100&lt;Grunddaten!B$6*0.85,"zuwenig","ok")</f>
        <v>ok</v>
      </c>
      <c r="Q9" s="79" t="str">
        <f t="shared" si="3"/>
        <v>gut</v>
      </c>
      <c r="R9" s="80"/>
    </row>
    <row r="10" spans="1:18" s="90" customFormat="1" ht="13.5" thickBot="1" x14ac:dyDescent="0.25">
      <c r="A10" s="70" t="s">
        <v>137</v>
      </c>
      <c r="B10" s="71"/>
      <c r="C10" s="84" t="s">
        <v>80</v>
      </c>
      <c r="D10" s="73">
        <v>1500</v>
      </c>
      <c r="E10" s="74">
        <v>78</v>
      </c>
      <c r="F10" s="75">
        <v>10</v>
      </c>
      <c r="G10" s="75">
        <v>6.7</v>
      </c>
      <c r="H10" s="75">
        <v>0.3</v>
      </c>
      <c r="I10" s="75">
        <v>1.9</v>
      </c>
      <c r="J10" s="76">
        <f t="shared" si="0"/>
        <v>122.76632458233888</v>
      </c>
      <c r="K10" s="75">
        <f t="shared" si="1"/>
        <v>14.090909090909065</v>
      </c>
      <c r="L10" s="77">
        <f>Grunddaten!$B$10/J10*100</f>
        <v>216.26451789874204</v>
      </c>
      <c r="M10" s="78">
        <f>1.49/85*100</f>
        <v>1.7529411764705884</v>
      </c>
      <c r="N10" s="78">
        <f t="shared" si="2"/>
        <v>3.790989784342655</v>
      </c>
      <c r="O10" s="79" t="str">
        <f>IF(L10*G10/100&lt;Grunddaten!B$7,"zuwenig","ok")</f>
        <v>ok</v>
      </c>
      <c r="P10" s="79" t="str">
        <f>IF(L10*F10/100&lt;Grunddaten!B$6*0.85,"zuwenig","ok")</f>
        <v>ok</v>
      </c>
      <c r="Q10" s="79" t="str">
        <f t="shared" si="3"/>
        <v>schlecht</v>
      </c>
      <c r="R10" s="80" t="s">
        <v>73</v>
      </c>
    </row>
    <row r="11" spans="1:18" s="90" customFormat="1" ht="13.5" thickBot="1" x14ac:dyDescent="0.25">
      <c r="A11" s="70" t="s">
        <v>78</v>
      </c>
      <c r="B11" s="71"/>
      <c r="C11" s="72"/>
      <c r="D11" s="73">
        <v>805</v>
      </c>
      <c r="E11" s="75">
        <v>82</v>
      </c>
      <c r="F11" s="75">
        <v>9.5</v>
      </c>
      <c r="G11" s="75">
        <v>5.5</v>
      </c>
      <c r="H11" s="75">
        <v>0.2</v>
      </c>
      <c r="I11" s="75">
        <v>2</v>
      </c>
      <c r="J11" s="76">
        <f t="shared" si="0"/>
        <v>100.90010076902676</v>
      </c>
      <c r="K11" s="75">
        <f t="shared" si="1"/>
        <v>4.4444444444444287</v>
      </c>
      <c r="L11" s="77">
        <f>Grunddaten!$B$10/J11*100</f>
        <v>263.13155088691485</v>
      </c>
      <c r="M11" s="78">
        <v>0.55000000000000004</v>
      </c>
      <c r="N11" s="78">
        <f t="shared" si="2"/>
        <v>1.4472235298780318</v>
      </c>
      <c r="O11" s="79" t="str">
        <f>IF(L11*G11/100&lt;Grunddaten!B$7,"zuwenig","ok")</f>
        <v>ok</v>
      </c>
      <c r="P11" s="79" t="str">
        <f>IF(L11*F11/100&lt;Grunddaten!B$6*0.85,"zuwenig","ok")</f>
        <v>ok</v>
      </c>
      <c r="Q11" s="79" t="str">
        <f t="shared" si="3"/>
        <v>gut</v>
      </c>
      <c r="R11" s="80"/>
    </row>
    <row r="12" spans="1:18" s="90" customFormat="1" ht="13.5" thickBot="1" x14ac:dyDescent="0.25">
      <c r="A12" s="70" t="s">
        <v>85</v>
      </c>
      <c r="B12" s="71" t="s">
        <v>121</v>
      </c>
      <c r="C12" s="72" t="s">
        <v>80</v>
      </c>
      <c r="D12" s="73">
        <v>450</v>
      </c>
      <c r="E12" s="75">
        <v>82</v>
      </c>
      <c r="F12" s="75">
        <v>10</v>
      </c>
      <c r="G12" s="75">
        <v>4.5</v>
      </c>
      <c r="H12" s="75">
        <v>2.5</v>
      </c>
      <c r="I12" s="75">
        <v>0.4</v>
      </c>
      <c r="J12" s="76">
        <f t="shared" si="0"/>
        <v>102.67759745425614</v>
      </c>
      <c r="K12" s="75">
        <f t="shared" si="1"/>
        <v>3.333333333333302</v>
      </c>
      <c r="L12" s="77">
        <f>Grunddaten!$B$10/J12*100</f>
        <v>258.57636581171744</v>
      </c>
      <c r="M12" s="78">
        <f>2.1</f>
        <v>2.1</v>
      </c>
      <c r="N12" s="78">
        <f t="shared" si="2"/>
        <v>5.4301036820460657</v>
      </c>
      <c r="O12" s="79" t="str">
        <f>IF(L12*G12/100&lt;Grunddaten!B$7,"zuwenig","ok")</f>
        <v>ok</v>
      </c>
      <c r="P12" s="79" t="str">
        <f>IF(L12*F12/100&lt;Grunddaten!B$6*0.85,"zuwenig","ok")</f>
        <v>ok</v>
      </c>
      <c r="Q12" s="79" t="str">
        <f t="shared" si="3"/>
        <v>gut</v>
      </c>
      <c r="R12" s="80" t="s">
        <v>73</v>
      </c>
    </row>
    <row r="13" spans="1:18" s="90" customFormat="1" ht="13.5" thickBot="1" x14ac:dyDescent="0.25">
      <c r="A13" s="70" t="s">
        <v>145</v>
      </c>
      <c r="B13" s="83" t="s">
        <v>146</v>
      </c>
      <c r="C13" s="72" t="s">
        <v>80</v>
      </c>
      <c r="D13" s="73">
        <v>1500</v>
      </c>
      <c r="E13" s="75">
        <v>78</v>
      </c>
      <c r="F13" s="75">
        <v>10.6</v>
      </c>
      <c r="G13" s="75">
        <v>6.6</v>
      </c>
      <c r="H13" s="75">
        <v>0.3</v>
      </c>
      <c r="I13" s="75">
        <v>2.2999999999999998</v>
      </c>
      <c r="J13" s="76">
        <f t="shared" si="0"/>
        <v>121.68634844868737</v>
      </c>
      <c r="K13" s="75">
        <f t="shared" ref="K13" si="4">IF((100-F13-G13-H13-I13-E13)&lt;0, 0,(100-F13-G13-H13-I13-E13)*100/(100-E13))</f>
        <v>10.000000000000078</v>
      </c>
      <c r="L13" s="77">
        <f>Grunddaten!$B$10/J13*100</f>
        <v>218.18388289624443</v>
      </c>
      <c r="M13" s="78">
        <v>1.2</v>
      </c>
      <c r="N13" s="78">
        <f t="shared" ref="N13" si="5">L13*M13/100</f>
        <v>2.6182065947549331</v>
      </c>
      <c r="O13" s="79" t="str">
        <f>IF(L13*G13/100&lt;Grunddaten!B$7,"zuwenig","ok")</f>
        <v>ok</v>
      </c>
      <c r="P13" s="79" t="str">
        <f>IF(L13*F13/100&lt;Grunddaten!B$6*0.85,"zuwenig","ok")</f>
        <v>ok</v>
      </c>
      <c r="Q13" s="79" t="str">
        <f t="shared" si="3"/>
        <v>gut</v>
      </c>
      <c r="R13" s="80"/>
    </row>
    <row r="14" spans="1:18" s="90" customFormat="1" ht="26.25" thickBot="1" x14ac:dyDescent="0.25">
      <c r="A14" s="70" t="s">
        <v>89</v>
      </c>
      <c r="B14" s="83" t="s">
        <v>79</v>
      </c>
      <c r="C14" s="85" t="s">
        <v>80</v>
      </c>
      <c r="D14" s="86">
        <v>445</v>
      </c>
      <c r="E14" s="74">
        <v>82</v>
      </c>
      <c r="F14" s="74">
        <v>8.5</v>
      </c>
      <c r="G14" s="74">
        <v>4.5</v>
      </c>
      <c r="H14" s="74">
        <v>0.3</v>
      </c>
      <c r="I14" s="74">
        <v>2</v>
      </c>
      <c r="J14" s="76">
        <f t="shared" si="0"/>
        <v>93.89568019093079</v>
      </c>
      <c r="K14" s="75">
        <f t="shared" si="1"/>
        <v>15.000000000000016</v>
      </c>
      <c r="L14" s="77">
        <f>Grunddaten!$B$10/J14*100</f>
        <v>282.76061205384838</v>
      </c>
      <c r="M14" s="78">
        <v>0.87</v>
      </c>
      <c r="N14" s="78">
        <f t="shared" si="2"/>
        <v>2.4600173248684807</v>
      </c>
      <c r="O14" s="79" t="str">
        <f>IF(L14*G14/100&lt;Grunddaten!B$7,"zuwenig","ok")</f>
        <v>ok</v>
      </c>
      <c r="P14" s="79" t="str">
        <f>IF(L14*F14/100&lt;Grunddaten!B$6*0.85,"zuwenig","ok")</f>
        <v>ok</v>
      </c>
      <c r="Q14" s="79" t="str">
        <f t="shared" si="3"/>
        <v>schlecht</v>
      </c>
      <c r="R14" s="80"/>
    </row>
    <row r="15" spans="1:18" s="90" customFormat="1" ht="13.5" thickBot="1" x14ac:dyDescent="0.25">
      <c r="A15" s="70" t="s">
        <v>87</v>
      </c>
      <c r="B15" s="81" t="s">
        <v>86</v>
      </c>
      <c r="C15" s="72" t="s">
        <v>159</v>
      </c>
      <c r="D15" s="73"/>
      <c r="E15" s="74">
        <v>80</v>
      </c>
      <c r="F15" s="74">
        <v>10.199999999999999</v>
      </c>
      <c r="G15" s="74">
        <v>5</v>
      </c>
      <c r="H15" s="74">
        <v>0.4</v>
      </c>
      <c r="I15" s="74">
        <v>2.8</v>
      </c>
      <c r="J15" s="76">
        <f t="shared" si="0"/>
        <v>103.43915990453456</v>
      </c>
      <c r="K15" s="75">
        <f t="shared" si="1"/>
        <v>7.9999999999999716</v>
      </c>
      <c r="L15" s="77">
        <f>Grunddaten!$B$10/J15*100</f>
        <v>256.67261822798412</v>
      </c>
      <c r="M15" s="78">
        <v>1.51</v>
      </c>
      <c r="N15" s="78">
        <f t="shared" si="2"/>
        <v>3.8757565352425605</v>
      </c>
      <c r="O15" s="79" t="str">
        <f>IF(L15*G15/100&lt;Grunddaten!B$7,"zuwenig","ok")</f>
        <v>ok</v>
      </c>
      <c r="P15" s="79" t="str">
        <f>IF(L15*F15/100&lt;Grunddaten!B$6*0.85,"zuwenig","ok")</f>
        <v>ok</v>
      </c>
      <c r="Q15" s="79" t="str">
        <f>IF(K15&lt;=12,"gut","schlecht")</f>
        <v>gut</v>
      </c>
      <c r="R15" s="80"/>
    </row>
    <row r="16" spans="1:18" s="90" customFormat="1" ht="13.5" thickBot="1" x14ac:dyDescent="0.25">
      <c r="A16" s="70" t="s">
        <v>34</v>
      </c>
      <c r="B16" s="83" t="s">
        <v>98</v>
      </c>
      <c r="C16" s="72" t="s">
        <v>10</v>
      </c>
      <c r="D16" s="73">
        <v>500</v>
      </c>
      <c r="E16" s="74">
        <v>81</v>
      </c>
      <c r="F16" s="75">
        <v>10</v>
      </c>
      <c r="G16" s="75">
        <v>6</v>
      </c>
      <c r="H16" s="75">
        <v>0.5</v>
      </c>
      <c r="I16" s="75">
        <v>2</v>
      </c>
      <c r="J16" s="76">
        <f t="shared" si="0"/>
        <v>108.06077754050997</v>
      </c>
      <c r="K16" s="75">
        <f t="shared" si="1"/>
        <v>2.6315789473684212</v>
      </c>
      <c r="L16" s="77">
        <f>Grunddaten!$B$10/J16*100</f>
        <v>245.69506720462843</v>
      </c>
      <c r="M16" s="78">
        <v>0.68</v>
      </c>
      <c r="N16" s="78">
        <f t="shared" si="2"/>
        <v>1.6707264569914735</v>
      </c>
      <c r="O16" s="79" t="str">
        <f>IF(L16*G16/100&lt;Grunddaten!B$7,"zuwenig","ok")</f>
        <v>ok</v>
      </c>
      <c r="P16" s="79" t="str">
        <f>IF(L16*F16/100&lt;Grunddaten!B$6*0.85,"zuwenig","ok")</f>
        <v>ok</v>
      </c>
      <c r="Q16" s="79" t="str">
        <f t="shared" ref="Q16:Q42" si="6">IF(K16&lt;=12,"gut","schlecht")</f>
        <v>gut</v>
      </c>
      <c r="R16" s="80"/>
    </row>
    <row r="17" spans="1:18" s="90" customFormat="1" ht="13.5" thickBot="1" x14ac:dyDescent="0.25">
      <c r="A17" s="70" t="s">
        <v>148</v>
      </c>
      <c r="B17" s="71"/>
      <c r="C17" s="72" t="s">
        <v>149</v>
      </c>
      <c r="D17" s="73">
        <v>1500</v>
      </c>
      <c r="E17" s="74">
        <v>80</v>
      </c>
      <c r="F17" s="75">
        <v>10.6</v>
      </c>
      <c r="G17" s="75">
        <v>4.5</v>
      </c>
      <c r="H17" s="75">
        <v>0.2</v>
      </c>
      <c r="I17" s="75">
        <v>1.3</v>
      </c>
      <c r="J17" s="76">
        <f t="shared" si="0"/>
        <v>106.50061097852029</v>
      </c>
      <c r="K17" s="75">
        <f t="shared" ref="K17" si="7">IF((100-F17-G17-H17-I17-E17)&lt;0, 0,(100-F17-G17-H17-I17-E17)*100/(100-E17))</f>
        <v>17.000000000000028</v>
      </c>
      <c r="L17" s="77">
        <f>Grunddaten!$B$10/J17*100</f>
        <v>249.29434447427511</v>
      </c>
      <c r="M17" s="78">
        <v>0.79500000000000004</v>
      </c>
      <c r="N17" s="78">
        <f t="shared" ref="N17" si="8">L17*M17/100</f>
        <v>1.9818900385704874</v>
      </c>
      <c r="O17" s="79" t="str">
        <f>IF(L17*G17/100&lt;Grunddaten!B$7,"zuwenig","ok")</f>
        <v>ok</v>
      </c>
      <c r="P17" s="79" t="str">
        <f>IF(L17*F17/100&lt;Grunddaten!B$6*0.85,"zuwenig","ok")</f>
        <v>ok</v>
      </c>
      <c r="Q17" s="79" t="str">
        <f t="shared" si="6"/>
        <v>schlecht</v>
      </c>
      <c r="R17" s="80"/>
    </row>
    <row r="18" spans="1:18" s="90" customFormat="1" ht="13.5" thickBot="1" x14ac:dyDescent="0.25">
      <c r="A18" s="70" t="s">
        <v>143</v>
      </c>
      <c r="B18" s="83" t="s">
        <v>144</v>
      </c>
      <c r="C18" s="72" t="s">
        <v>62</v>
      </c>
      <c r="D18" s="73">
        <v>1000</v>
      </c>
      <c r="E18" s="74">
        <v>80</v>
      </c>
      <c r="F18" s="75">
        <v>10</v>
      </c>
      <c r="G18" s="75">
        <v>5</v>
      </c>
      <c r="H18" s="75">
        <v>0.3</v>
      </c>
      <c r="I18" s="75">
        <v>2</v>
      </c>
      <c r="J18" s="76">
        <f t="shared" si="0"/>
        <v>105.92845346062053</v>
      </c>
      <c r="K18" s="75">
        <f t="shared" si="1"/>
        <v>13.500000000000014</v>
      </c>
      <c r="L18" s="77">
        <f>Grunddaten!$B$10/J18*100</f>
        <v>250.64087251939449</v>
      </c>
      <c r="M18" s="78">
        <v>0.77</v>
      </c>
      <c r="N18" s="78">
        <f t="shared" ref="N18" si="9">L18*M18/100</f>
        <v>1.9299347183993376</v>
      </c>
      <c r="O18" s="79" t="str">
        <f>IF(L18*G18/100&lt;Grunddaten!B$7,"zuwenig","ok")</f>
        <v>ok</v>
      </c>
      <c r="P18" s="79" t="str">
        <f>IF(L18*F18/100&lt;Grunddaten!B$6*0.85,"zuwenig","ok")</f>
        <v>ok</v>
      </c>
      <c r="Q18" s="79" t="str">
        <f t="shared" si="6"/>
        <v>schlecht</v>
      </c>
      <c r="R18" s="80"/>
    </row>
    <row r="19" spans="1:18" s="90" customFormat="1" ht="13.5" thickBot="1" x14ac:dyDescent="0.25">
      <c r="A19" s="70" t="s">
        <v>124</v>
      </c>
      <c r="B19" s="70" t="s">
        <v>125</v>
      </c>
      <c r="C19" s="72" t="s">
        <v>80</v>
      </c>
      <c r="D19" s="73">
        <v>1500</v>
      </c>
      <c r="E19" s="74">
        <v>80</v>
      </c>
      <c r="F19" s="75">
        <v>10.3</v>
      </c>
      <c r="G19" s="75">
        <v>5</v>
      </c>
      <c r="H19" s="75">
        <v>0.5</v>
      </c>
      <c r="I19" s="75">
        <v>2.5</v>
      </c>
      <c r="J19" s="76">
        <f t="shared" si="0"/>
        <v>104.6628400954654</v>
      </c>
      <c r="K19" s="75">
        <f t="shared" si="1"/>
        <v>8.5000000000000142</v>
      </c>
      <c r="L19" s="77">
        <f>Grunddaten!$B$10/J19*100</f>
        <v>253.67169451720522</v>
      </c>
      <c r="M19" s="78">
        <v>0.87</v>
      </c>
      <c r="N19" s="78">
        <f t="shared" si="2"/>
        <v>2.2069437422996852</v>
      </c>
      <c r="O19" s="79" t="str">
        <f>IF(L19*G19/100&lt;Grunddaten!B$7,"zuwenig","ok")</f>
        <v>ok</v>
      </c>
      <c r="P19" s="79" t="str">
        <f>IF(L19*F19/100&lt;Grunddaten!B$6*0.85,"zuwenig","ok")</f>
        <v>ok</v>
      </c>
      <c r="Q19" s="79" t="str">
        <f t="shared" si="6"/>
        <v>gut</v>
      </c>
      <c r="R19" s="80"/>
    </row>
    <row r="20" spans="1:18" s="90" customFormat="1" ht="13.5" thickBot="1" x14ac:dyDescent="0.25">
      <c r="A20" s="70" t="s">
        <v>94</v>
      </c>
      <c r="B20" s="83" t="s">
        <v>35</v>
      </c>
      <c r="C20" s="72" t="s">
        <v>62</v>
      </c>
      <c r="D20" s="73">
        <v>1200</v>
      </c>
      <c r="E20" s="74">
        <v>80</v>
      </c>
      <c r="F20" s="75">
        <v>10.8</v>
      </c>
      <c r="G20" s="75">
        <v>5.8</v>
      </c>
      <c r="H20" s="75">
        <v>0.3</v>
      </c>
      <c r="I20" s="75">
        <v>2.2999999999999998</v>
      </c>
      <c r="J20" s="76">
        <f t="shared" si="0"/>
        <v>110.49997136038189</v>
      </c>
      <c r="K20" s="75">
        <f t="shared" si="1"/>
        <v>4.0000000000000568</v>
      </c>
      <c r="L20" s="77">
        <f>Grunddaten!$B$10/J20*100</f>
        <v>240.27155548674745</v>
      </c>
      <c r="M20" s="78">
        <v>0.54</v>
      </c>
      <c r="N20" s="78">
        <f t="shared" si="2"/>
        <v>1.2974663996284364</v>
      </c>
      <c r="O20" s="79" t="str">
        <f>IF(L20*G20/100&lt;Grunddaten!B$7,"zuwenig","ok")</f>
        <v>ok</v>
      </c>
      <c r="P20" s="79" t="str">
        <f>IF(L20*F20/100&lt;Grunddaten!B$6*0.85,"zuwenig","ok")</f>
        <v>ok</v>
      </c>
      <c r="Q20" s="79" t="str">
        <f t="shared" si="6"/>
        <v>gut</v>
      </c>
      <c r="R20" s="80"/>
    </row>
    <row r="21" spans="1:18" s="90" customFormat="1" ht="13.5" thickBot="1" x14ac:dyDescent="0.25">
      <c r="A21" s="70" t="s">
        <v>122</v>
      </c>
      <c r="B21" s="71"/>
      <c r="C21" s="72" t="s">
        <v>62</v>
      </c>
      <c r="D21" s="73">
        <v>500</v>
      </c>
      <c r="E21" s="74">
        <v>79</v>
      </c>
      <c r="F21" s="74">
        <v>10</v>
      </c>
      <c r="G21" s="74">
        <v>8</v>
      </c>
      <c r="H21" s="74">
        <v>0.5</v>
      </c>
      <c r="I21" s="74">
        <v>2</v>
      </c>
      <c r="J21" s="76">
        <f t="shared" si="0"/>
        <v>126.20367655415387</v>
      </c>
      <c r="K21" s="75">
        <f t="shared" si="1"/>
        <v>2.3809523809523809</v>
      </c>
      <c r="L21" s="77">
        <f>Grunddaten!$B$10/J21*100</f>
        <v>210.37421987153775</v>
      </c>
      <c r="M21" s="78">
        <v>0.65</v>
      </c>
      <c r="N21" s="78">
        <f t="shared" si="2"/>
        <v>1.3674324291649955</v>
      </c>
      <c r="O21" s="79" t="str">
        <f>IF(L21*G21/100&lt;Grunddaten!B$7,"zuwenig","ok")</f>
        <v>ok</v>
      </c>
      <c r="P21" s="79" t="str">
        <f>IF(L21*F21/100&lt;Grunddaten!B$6*0.85,"zuwenig","ok")</f>
        <v>ok</v>
      </c>
      <c r="Q21" s="79" t="str">
        <f t="shared" si="6"/>
        <v>gut</v>
      </c>
      <c r="R21" s="80"/>
    </row>
    <row r="22" spans="1:18" s="90" customFormat="1" ht="13.5" thickBot="1" x14ac:dyDescent="0.25">
      <c r="A22" s="70" t="s">
        <v>0</v>
      </c>
      <c r="B22" s="70" t="s">
        <v>6</v>
      </c>
      <c r="C22" s="72" t="s">
        <v>97</v>
      </c>
      <c r="D22" s="73">
        <v>500</v>
      </c>
      <c r="E22" s="74">
        <v>82</v>
      </c>
      <c r="F22" s="74">
        <v>10.5</v>
      </c>
      <c r="G22" s="74">
        <v>3.5</v>
      </c>
      <c r="H22" s="74">
        <v>0.5</v>
      </c>
      <c r="I22" s="74">
        <v>2</v>
      </c>
      <c r="J22" s="76">
        <f t="shared" si="0"/>
        <v>91.346340493237847</v>
      </c>
      <c r="K22" s="75">
        <f t="shared" si="1"/>
        <v>8.3333333333333339</v>
      </c>
      <c r="L22" s="77">
        <f>Grunddaten!$B$10/J22*100</f>
        <v>290.65203769126839</v>
      </c>
      <c r="M22" s="78">
        <v>0.9</v>
      </c>
      <c r="N22" s="78">
        <f t="shared" si="2"/>
        <v>2.6158683392214157</v>
      </c>
      <c r="O22" s="79" t="str">
        <f>IF(L22*G22/100&lt;Grunddaten!B$7,"zuwenig","ok")</f>
        <v>ok</v>
      </c>
      <c r="P22" s="79" t="str">
        <f>IF(L22*F22/100&lt;Grunddaten!B$6*0.85,"zuwenig","ok")</f>
        <v>ok</v>
      </c>
      <c r="Q22" s="79" t="str">
        <f t="shared" si="6"/>
        <v>gut</v>
      </c>
      <c r="R22" s="80"/>
    </row>
    <row r="23" spans="1:18" s="90" customFormat="1" ht="13.5" thickBot="1" x14ac:dyDescent="0.25">
      <c r="A23" s="70" t="s">
        <v>99</v>
      </c>
      <c r="B23" s="70"/>
      <c r="C23" s="72" t="s">
        <v>97</v>
      </c>
      <c r="D23" s="73">
        <v>300</v>
      </c>
      <c r="E23" s="74">
        <v>83</v>
      </c>
      <c r="F23" s="74">
        <v>10</v>
      </c>
      <c r="G23" s="74">
        <v>3</v>
      </c>
      <c r="H23" s="74">
        <v>0.5</v>
      </c>
      <c r="I23" s="74">
        <v>2</v>
      </c>
      <c r="J23" s="76">
        <f t="shared" si="0"/>
        <v>84.308949880668251</v>
      </c>
      <c r="K23" s="75">
        <f t="shared" si="1"/>
        <v>8.8235294117647065</v>
      </c>
      <c r="L23" s="77">
        <f>Grunddaten!$B$10/J23*100</f>
        <v>314.91318581928891</v>
      </c>
      <c r="M23" s="78">
        <v>0.9</v>
      </c>
      <c r="N23" s="78">
        <f t="shared" si="2"/>
        <v>2.8342186723736003</v>
      </c>
      <c r="O23" s="79" t="str">
        <f>IF(L23*G23/100&lt;Grunddaten!B$7,"zuwenig","ok")</f>
        <v>ok</v>
      </c>
      <c r="P23" s="79" t="str">
        <f>IF(L23*F23/100&lt;Grunddaten!B$6*0.85,"zuwenig","ok")</f>
        <v>ok</v>
      </c>
      <c r="Q23" s="79" t="str">
        <f t="shared" si="6"/>
        <v>gut</v>
      </c>
      <c r="R23" s="80" t="s">
        <v>73</v>
      </c>
    </row>
    <row r="24" spans="1:18" s="90" customFormat="1" ht="13.5" thickBot="1" x14ac:dyDescent="0.25">
      <c r="A24" s="70" t="s">
        <v>147</v>
      </c>
      <c r="B24" s="70"/>
      <c r="C24" s="72" t="s">
        <v>80</v>
      </c>
      <c r="D24" s="73">
        <v>1500</v>
      </c>
      <c r="E24" s="74">
        <v>80</v>
      </c>
      <c r="F24" s="74">
        <v>10.199999999999999</v>
      </c>
      <c r="G24" s="74">
        <v>5.2</v>
      </c>
      <c r="H24" s="74">
        <v>0.4</v>
      </c>
      <c r="I24" s="74">
        <v>2.5</v>
      </c>
      <c r="J24" s="76">
        <f t="shared" si="0"/>
        <v>105.60249642004767</v>
      </c>
      <c r="K24" s="75">
        <f t="shared" si="1"/>
        <v>8.4999999999999432</v>
      </c>
      <c r="L24" s="77">
        <f>Grunddaten!$B$10/J24*100</f>
        <v>251.41451102059102</v>
      </c>
      <c r="M24" s="78">
        <v>0.89</v>
      </c>
      <c r="N24" s="78">
        <f t="shared" ref="N24" si="10">L24*M24/100</f>
        <v>2.2375891480832601</v>
      </c>
      <c r="O24" s="79" t="str">
        <f>IF(L24*G24/100&lt;Grunddaten!B$7,"zuwenig","ok")</f>
        <v>ok</v>
      </c>
      <c r="P24" s="79" t="str">
        <f>IF(L24*F24/100&lt;Grunddaten!B$6*0.85,"zuwenig","ok")</f>
        <v>ok</v>
      </c>
      <c r="Q24" s="79" t="str">
        <f t="shared" si="6"/>
        <v>gut</v>
      </c>
      <c r="R24" s="80"/>
    </row>
    <row r="25" spans="1:18" s="90" customFormat="1" ht="13.5" thickBot="1" x14ac:dyDescent="0.25">
      <c r="A25" s="70" t="s">
        <v>95</v>
      </c>
      <c r="B25" s="83" t="s">
        <v>68</v>
      </c>
      <c r="C25" s="72" t="s">
        <v>62</v>
      </c>
      <c r="D25" s="73">
        <v>1500</v>
      </c>
      <c r="E25" s="75">
        <v>78</v>
      </c>
      <c r="F25" s="75">
        <v>12</v>
      </c>
      <c r="G25" s="75">
        <v>6</v>
      </c>
      <c r="H25" s="75">
        <v>0.4</v>
      </c>
      <c r="I25" s="75">
        <v>1.8</v>
      </c>
      <c r="J25" s="76">
        <f t="shared" si="0"/>
        <v>122.19756563245819</v>
      </c>
      <c r="K25" s="75">
        <f t="shared" si="1"/>
        <v>8.1818181818181692</v>
      </c>
      <c r="L25" s="77">
        <f>Grunddaten!$B$10/J25*100</f>
        <v>217.27110407302396</v>
      </c>
      <c r="M25" s="78">
        <v>0.69</v>
      </c>
      <c r="N25" s="78">
        <f t="shared" si="2"/>
        <v>1.4991706181038651</v>
      </c>
      <c r="O25" s="79" t="str">
        <f>IF(L25*G25/100&lt;Grunddaten!B$7,"zuwenig","ok")</f>
        <v>ok</v>
      </c>
      <c r="P25" s="79" t="str">
        <f>IF(L25*F25/100&lt;Grunddaten!B$6*0.85,"zuwenig","ok")</f>
        <v>ok</v>
      </c>
      <c r="Q25" s="79" t="str">
        <f t="shared" si="6"/>
        <v>gut</v>
      </c>
      <c r="R25" s="80"/>
    </row>
    <row r="26" spans="1:18" s="90" customFormat="1" ht="13.5" thickBot="1" x14ac:dyDescent="0.25">
      <c r="A26" s="70" t="s">
        <v>96</v>
      </c>
      <c r="B26" s="83" t="s">
        <v>7</v>
      </c>
      <c r="C26" s="72" t="s">
        <v>62</v>
      </c>
      <c r="D26" s="73">
        <v>1500</v>
      </c>
      <c r="E26" s="74">
        <v>79</v>
      </c>
      <c r="F26" s="74">
        <v>11</v>
      </c>
      <c r="G26" s="74">
        <v>6</v>
      </c>
      <c r="H26" s="74">
        <v>0.4</v>
      </c>
      <c r="I26" s="74">
        <v>2</v>
      </c>
      <c r="J26" s="76">
        <f t="shared" si="0"/>
        <v>116.50426639390838</v>
      </c>
      <c r="K26" s="75">
        <f t="shared" si="1"/>
        <v>7.619047619047592</v>
      </c>
      <c r="L26" s="77">
        <f>Grunddaten!$B$10/J26*100</f>
        <v>227.88865010516224</v>
      </c>
      <c r="M26" s="78">
        <v>0.66</v>
      </c>
      <c r="N26" s="78">
        <f t="shared" si="2"/>
        <v>1.5040650906940709</v>
      </c>
      <c r="O26" s="79" t="str">
        <f>IF(L26*G26/100&lt;Grunddaten!B$7,"zuwenig","ok")</f>
        <v>ok</v>
      </c>
      <c r="P26" s="79" t="str">
        <f>IF(L26*F26/100&lt;Grunddaten!B$6*0.85,"zuwenig","ok")</f>
        <v>ok</v>
      </c>
      <c r="Q26" s="79" t="str">
        <f t="shared" si="6"/>
        <v>gut</v>
      </c>
      <c r="R26" s="80"/>
    </row>
    <row r="27" spans="1:18" s="90" customFormat="1" ht="13.5" thickBot="1" x14ac:dyDescent="0.25">
      <c r="A27" s="70" t="s">
        <v>76</v>
      </c>
      <c r="B27" s="81" t="s">
        <v>74</v>
      </c>
      <c r="C27" s="72" t="s">
        <v>62</v>
      </c>
      <c r="D27" s="73">
        <v>1500</v>
      </c>
      <c r="E27" s="75">
        <v>80</v>
      </c>
      <c r="F27" s="75">
        <v>12.5</v>
      </c>
      <c r="G27" s="75">
        <v>6.5</v>
      </c>
      <c r="H27" s="75">
        <v>0.4</v>
      </c>
      <c r="I27" s="75">
        <v>2</v>
      </c>
      <c r="J27" s="76">
        <f t="shared" si="0"/>
        <v>122.92362768496417</v>
      </c>
      <c r="K27" s="75">
        <f t="shared" si="1"/>
        <v>0</v>
      </c>
      <c r="L27" s="77">
        <f>Grunddaten!$B$10/J27*100</f>
        <v>215.98776817784687</v>
      </c>
      <c r="M27" s="78">
        <v>0.44</v>
      </c>
      <c r="N27" s="78">
        <f t="shared" si="2"/>
        <v>0.95034617998252624</v>
      </c>
      <c r="O27" s="79" t="str">
        <f>IF(L27*G27/100&lt;Grunddaten!B$7,"zuwenig","ok")</f>
        <v>ok</v>
      </c>
      <c r="P27" s="79" t="str">
        <f>IF(L27*F27/100&lt;Grunddaten!B$6*0.85,"zuwenig","ok")</f>
        <v>ok</v>
      </c>
      <c r="Q27" s="79" t="str">
        <f t="shared" si="6"/>
        <v>gut</v>
      </c>
      <c r="R27" s="80" t="s">
        <v>73</v>
      </c>
    </row>
    <row r="28" spans="1:18" s="90" customFormat="1" ht="13.5" thickBot="1" x14ac:dyDescent="0.25">
      <c r="A28" s="70" t="s">
        <v>153</v>
      </c>
      <c r="B28" s="83" t="s">
        <v>151</v>
      </c>
      <c r="C28" s="72" t="s">
        <v>152</v>
      </c>
      <c r="D28" s="73">
        <v>573</v>
      </c>
      <c r="E28" s="74">
        <v>83</v>
      </c>
      <c r="F28" s="74">
        <v>8</v>
      </c>
      <c r="G28" s="74">
        <v>5</v>
      </c>
      <c r="H28" s="74">
        <v>0.5</v>
      </c>
      <c r="I28" s="74">
        <v>1.8</v>
      </c>
      <c r="J28" s="87">
        <f>IF(SUM(E28:I28)&lt;92,"falsche Werte",((24*F28+38*G28+17*H28+17*(K28*(100-E28)/100)*(87.9-(0.88*H28*100/(100-E28)))/100-(3.1*F28))/4.19))</f>
        <v>93.163508353221957</v>
      </c>
      <c r="K28" s="75">
        <f>IF((100-F28-G28-H28-I28-E28)&lt;0, 0,(100-F28-G28-H28-I28-E28)*100/(100-E28))</f>
        <v>10.000000000000016</v>
      </c>
      <c r="L28" s="77">
        <f>Grunddaten!$B$10/J28*100</f>
        <v>284.9828271745393</v>
      </c>
      <c r="M28" s="78">
        <v>1.1299999999999999</v>
      </c>
      <c r="N28" s="78">
        <f t="shared" ref="N28" si="11">L28*M28/100</f>
        <v>3.2203059470722941</v>
      </c>
      <c r="O28" s="79" t="str">
        <f>IF(L28*G28/100&lt;Grunddaten!B$7,"zuwenig","ok")</f>
        <v>ok</v>
      </c>
      <c r="P28" s="79" t="str">
        <f>IF(L28*F28/100&lt;Grunddaten!B$6*0.85,"zuwenig","ok")</f>
        <v>ok</v>
      </c>
      <c r="Q28" s="79" t="str">
        <f t="shared" si="6"/>
        <v>gut</v>
      </c>
      <c r="R28" s="80"/>
    </row>
    <row r="29" spans="1:18" s="90" customFormat="1" ht="13.5" thickBot="1" x14ac:dyDescent="0.25">
      <c r="A29" s="70" t="s">
        <v>135</v>
      </c>
      <c r="B29" s="83" t="s">
        <v>7</v>
      </c>
      <c r="C29" s="84" t="s">
        <v>80</v>
      </c>
      <c r="D29" s="73">
        <v>1500</v>
      </c>
      <c r="E29" s="74">
        <v>79</v>
      </c>
      <c r="F29" s="75">
        <v>10.8</v>
      </c>
      <c r="G29" s="75">
        <v>5.4</v>
      </c>
      <c r="H29" s="75">
        <v>0.5</v>
      </c>
      <c r="I29" s="75">
        <v>2.8</v>
      </c>
      <c r="J29" s="76">
        <f t="shared" si="0"/>
        <v>110.09551653596999</v>
      </c>
      <c r="K29" s="75">
        <f t="shared" si="1"/>
        <v>7.1428571428571432</v>
      </c>
      <c r="L29" s="77">
        <f>Grunddaten!$B$10/J29*100</f>
        <v>241.15423438996885</v>
      </c>
      <c r="M29" s="78">
        <v>0.79500000000000004</v>
      </c>
      <c r="N29" s="78">
        <f t="shared" si="2"/>
        <v>1.9171761634002524</v>
      </c>
      <c r="O29" s="79" t="str">
        <f>IF(L29*G29/100&lt;Grunddaten!B$7,"zuwenig","ok")</f>
        <v>ok</v>
      </c>
      <c r="P29" s="79" t="str">
        <f>IF(L29*F29/100&lt;Grunddaten!B$6*0.85,"zuwenig","ok")</f>
        <v>ok</v>
      </c>
      <c r="Q29" s="79" t="str">
        <f t="shared" si="6"/>
        <v>gut</v>
      </c>
      <c r="R29" s="80"/>
    </row>
    <row r="30" spans="1:18" s="90" customFormat="1" ht="26.25" thickBot="1" x14ac:dyDescent="0.25">
      <c r="A30" s="70" t="s">
        <v>71</v>
      </c>
      <c r="B30" s="83" t="s">
        <v>70</v>
      </c>
      <c r="C30" s="72" t="s">
        <v>3</v>
      </c>
      <c r="D30" s="73">
        <v>1500</v>
      </c>
      <c r="E30" s="75">
        <v>79</v>
      </c>
      <c r="F30" s="75">
        <v>11</v>
      </c>
      <c r="G30" s="75">
        <v>6.5</v>
      </c>
      <c r="H30" s="75">
        <v>0.4</v>
      </c>
      <c r="I30" s="75">
        <v>2.2999999999999998</v>
      </c>
      <c r="J30" s="76">
        <f t="shared" si="0"/>
        <v>118.24020002272984</v>
      </c>
      <c r="K30" s="75">
        <f t="shared" si="1"/>
        <v>3.809523809523796</v>
      </c>
      <c r="L30" s="77">
        <f>Grunddaten!$B$10/J30*100</f>
        <v>224.54292190723777</v>
      </c>
      <c r="M30" s="78">
        <v>0.73</v>
      </c>
      <c r="N30" s="78">
        <f t="shared" si="2"/>
        <v>1.6391633299228356</v>
      </c>
      <c r="O30" s="79" t="str">
        <f>IF(L30*G30/100&lt;Grunddaten!B$7,"zuwenig","ok")</f>
        <v>ok</v>
      </c>
      <c r="P30" s="79" t="str">
        <f>IF(L30*F30/100&lt;Grunddaten!B$6*0.85,"zuwenig","ok")</f>
        <v>ok</v>
      </c>
      <c r="Q30" s="79" t="str">
        <f t="shared" si="6"/>
        <v>gut</v>
      </c>
      <c r="R30" s="80" t="s">
        <v>73</v>
      </c>
    </row>
    <row r="31" spans="1:18" s="90" customFormat="1" ht="26.25" thickBot="1" x14ac:dyDescent="0.25">
      <c r="A31" s="70" t="s">
        <v>155</v>
      </c>
      <c r="B31" s="72" t="s">
        <v>100</v>
      </c>
      <c r="C31" s="72" t="s">
        <v>62</v>
      </c>
      <c r="D31" s="73">
        <v>1500</v>
      </c>
      <c r="E31" s="75">
        <v>80</v>
      </c>
      <c r="F31" s="75">
        <v>10.5</v>
      </c>
      <c r="G31" s="75">
        <v>5.0999999999999996</v>
      </c>
      <c r="H31" s="75">
        <v>0.3</v>
      </c>
      <c r="I31" s="75">
        <v>2.4</v>
      </c>
      <c r="J31" s="76">
        <f t="shared" ref="J31" si="12">IF(SUM(E31:I31)&lt;92,"falsche Werte",((24*F31+38*G31+17*H31+17*(K31*(100-E31)/100)*(87.9-(0.88*H31*100/(100-E31)))/100-(3.1*F31))/4.19))</f>
        <v>105.81661575178997</v>
      </c>
      <c r="K31" s="75">
        <f t="shared" ref="K31" si="13">IF((100-F31-G31-H31-I31-E31)&lt;0, 0,(100-F31-G31-H31-I31-E31)*100/(100-E31))</f>
        <v>8.5000000000000142</v>
      </c>
      <c r="L31" s="77">
        <f>Grunddaten!$B$10/J31*100</f>
        <v>250.90577515989861</v>
      </c>
      <c r="M31" s="78">
        <v>1.095</v>
      </c>
      <c r="N31" s="78">
        <f t="shared" ref="N31" si="14">L31*M31/100</f>
        <v>2.7474182380008898</v>
      </c>
      <c r="O31" s="79" t="str">
        <f>IF(L31*G31/100&lt;Grunddaten!B$7,"zuwenig","ok")</f>
        <v>ok</v>
      </c>
      <c r="P31" s="79" t="str">
        <f>IF(L31*F31/100&lt;Grunddaten!B$6*0.85,"zuwenig","ok")</f>
        <v>ok</v>
      </c>
      <c r="Q31" s="79" t="str">
        <f t="shared" si="6"/>
        <v>gut</v>
      </c>
      <c r="R31" s="80"/>
    </row>
    <row r="32" spans="1:18" s="90" customFormat="1" ht="13.5" thickBot="1" x14ac:dyDescent="0.25">
      <c r="A32" s="70" t="s">
        <v>75</v>
      </c>
      <c r="B32" s="83" t="s">
        <v>9</v>
      </c>
      <c r="C32" s="72" t="s">
        <v>31</v>
      </c>
      <c r="D32" s="73">
        <v>1500</v>
      </c>
      <c r="E32" s="74">
        <v>81</v>
      </c>
      <c r="F32" s="74">
        <v>10.4</v>
      </c>
      <c r="G32" s="74">
        <v>5.9</v>
      </c>
      <c r="H32" s="74">
        <v>0.4</v>
      </c>
      <c r="I32" s="74">
        <v>1.9</v>
      </c>
      <c r="J32" s="76">
        <f t="shared" si="0"/>
        <v>108.40363270945855</v>
      </c>
      <c r="K32" s="75">
        <f t="shared" si="1"/>
        <v>2.1052631578946173</v>
      </c>
      <c r="L32" s="77">
        <f>Grunddaten!$B$10/J32*100</f>
        <v>244.91799155069671</v>
      </c>
      <c r="M32" s="78">
        <v>0.5</v>
      </c>
      <c r="N32" s="78">
        <f t="shared" si="2"/>
        <v>1.2245899577534836</v>
      </c>
      <c r="O32" s="79" t="str">
        <f>IF(L32*G32/100&lt;Grunddaten!B$7,"zuwenig","ok")</f>
        <v>ok</v>
      </c>
      <c r="P32" s="79" t="str">
        <f>IF(L32*F32/100&lt;Grunddaten!B$6*0.85,"zuwenig","ok")</f>
        <v>ok</v>
      </c>
      <c r="Q32" s="79" t="str">
        <f t="shared" si="6"/>
        <v>gut</v>
      </c>
      <c r="R32" s="80"/>
    </row>
    <row r="33" spans="1:18" s="90" customFormat="1" ht="13.5" thickBot="1" x14ac:dyDescent="0.25">
      <c r="A33" s="70" t="s">
        <v>131</v>
      </c>
      <c r="B33" s="88" t="s">
        <v>133</v>
      </c>
      <c r="C33" s="72" t="s">
        <v>132</v>
      </c>
      <c r="D33" s="73">
        <v>1100</v>
      </c>
      <c r="E33" s="74">
        <v>81.3</v>
      </c>
      <c r="F33" s="75">
        <v>9.5</v>
      </c>
      <c r="G33" s="75">
        <v>4.5</v>
      </c>
      <c r="H33" s="75">
        <v>0.5</v>
      </c>
      <c r="I33" s="75">
        <v>1.5</v>
      </c>
      <c r="J33" s="76">
        <f t="shared" si="0"/>
        <v>99.59811455847256</v>
      </c>
      <c r="K33" s="75">
        <f t="shared" si="1"/>
        <v>14.438502673796805</v>
      </c>
      <c r="L33" s="77">
        <f>Grunddaten!$B$10/J33*100</f>
        <v>266.57131129136877</v>
      </c>
      <c r="M33" s="78">
        <v>1.99</v>
      </c>
      <c r="N33" s="78">
        <f t="shared" si="2"/>
        <v>5.3047690946982389</v>
      </c>
      <c r="O33" s="79" t="str">
        <f>IF(L33*G33/100&lt;Grunddaten!B$7,"zuwenig","ok")</f>
        <v>ok</v>
      </c>
      <c r="P33" s="79" t="str">
        <f>IF(L33*F33/100&lt;Grunddaten!B$6*0.85,"zuwenig","ok")</f>
        <v>ok</v>
      </c>
      <c r="Q33" s="79" t="str">
        <f t="shared" si="6"/>
        <v>schlecht</v>
      </c>
      <c r="R33" s="80" t="s">
        <v>73</v>
      </c>
    </row>
    <row r="34" spans="1:18" s="90" customFormat="1" ht="12" customHeight="1" thickBot="1" x14ac:dyDescent="0.25">
      <c r="A34" s="70" t="s">
        <v>128</v>
      </c>
      <c r="B34" s="88" t="s">
        <v>129</v>
      </c>
      <c r="C34" s="72" t="s">
        <v>80</v>
      </c>
      <c r="D34" s="73" t="s">
        <v>130</v>
      </c>
      <c r="E34" s="75">
        <v>80.400000000000006</v>
      </c>
      <c r="F34" s="75">
        <v>10.8</v>
      </c>
      <c r="G34" s="75">
        <v>3.2</v>
      </c>
      <c r="H34" s="75">
        <v>1.3</v>
      </c>
      <c r="I34" s="75">
        <v>1.8</v>
      </c>
      <c r="J34" s="76">
        <f t="shared" si="0"/>
        <v>96.490903998831044</v>
      </c>
      <c r="K34" s="75">
        <f t="shared" si="1"/>
        <v>12.755102040816331</v>
      </c>
      <c r="L34" s="77">
        <f>Grunddaten!$B$10/J34*100</f>
        <v>275.15546958003051</v>
      </c>
      <c r="M34" s="78">
        <v>1.45</v>
      </c>
      <c r="N34" s="78">
        <f t="shared" si="2"/>
        <v>3.9897543089104426</v>
      </c>
      <c r="O34" s="79" t="str">
        <f>IF(L34*G34/100&lt;Grunddaten!B$7,"zuwenig","ok")</f>
        <v>ok</v>
      </c>
      <c r="P34" s="79" t="str">
        <f>IF(L34*F34/100&lt;Grunddaten!B$6*0.85,"zuwenig","ok")</f>
        <v>ok</v>
      </c>
      <c r="Q34" s="79" t="str">
        <f t="shared" si="6"/>
        <v>schlecht</v>
      </c>
      <c r="R34" s="80"/>
    </row>
    <row r="35" spans="1:18" s="90" customFormat="1" ht="13.5" thickBot="1" x14ac:dyDescent="0.25">
      <c r="A35" s="70" t="s">
        <v>60</v>
      </c>
      <c r="B35" s="81" t="s">
        <v>33</v>
      </c>
      <c r="C35" s="72" t="s">
        <v>10</v>
      </c>
      <c r="D35" s="73">
        <v>160</v>
      </c>
      <c r="E35" s="74">
        <v>85</v>
      </c>
      <c r="F35" s="74">
        <v>12</v>
      </c>
      <c r="G35" s="74">
        <v>1.5</v>
      </c>
      <c r="H35" s="74">
        <v>0.5</v>
      </c>
      <c r="I35" s="74">
        <v>1</v>
      </c>
      <c r="J35" s="76">
        <f t="shared" si="0"/>
        <v>75.489260143198081</v>
      </c>
      <c r="K35" s="75">
        <f t="shared" si="1"/>
        <v>0</v>
      </c>
      <c r="L35" s="77">
        <f>Grunddaten!$B$10/J35*100</f>
        <v>351.70565918431873</v>
      </c>
      <c r="M35" s="78">
        <v>2.2999999999999998</v>
      </c>
      <c r="N35" s="78">
        <f t="shared" si="2"/>
        <v>8.08923016123933</v>
      </c>
      <c r="O35" s="79" t="str">
        <f>IF(L35*G35/100&lt;Grunddaten!B$7,"zuwenig","ok")</f>
        <v>zuwenig</v>
      </c>
      <c r="P35" s="79" t="str">
        <f>IF(L35*F35/100&lt;Grunddaten!B$6*0.85,"zuwenig","ok")</f>
        <v>ok</v>
      </c>
      <c r="Q35" s="79" t="str">
        <f t="shared" si="6"/>
        <v>gut</v>
      </c>
      <c r="R35" s="80"/>
    </row>
    <row r="36" spans="1:18" s="90" customFormat="1" ht="26.25" thickBot="1" x14ac:dyDescent="0.25">
      <c r="A36" s="70" t="s">
        <v>154</v>
      </c>
      <c r="B36" s="72"/>
      <c r="C36" s="72"/>
      <c r="D36" s="73" t="s">
        <v>52</v>
      </c>
      <c r="E36" s="74">
        <v>84</v>
      </c>
      <c r="F36" s="74">
        <v>9</v>
      </c>
      <c r="G36" s="74">
        <v>4</v>
      </c>
      <c r="H36" s="74">
        <v>0.5</v>
      </c>
      <c r="I36" s="74">
        <v>2.1</v>
      </c>
      <c r="J36" s="76">
        <f t="shared" si="0"/>
        <v>84.580000000000013</v>
      </c>
      <c r="K36" s="75">
        <f t="shared" si="1"/>
        <v>2.5000000000000355</v>
      </c>
      <c r="L36" s="77">
        <f>Grunddaten!$B$10/J36*100</f>
        <v>313.90399621659964</v>
      </c>
      <c r="M36" s="78">
        <v>1.46</v>
      </c>
      <c r="N36" s="78">
        <f t="shared" ref="N36" si="15">L36*M36/100</f>
        <v>4.5829983447623546</v>
      </c>
      <c r="O36" s="79" t="str">
        <f>IF(L36*G36/100&lt;Grunddaten!B$7,"zuwenig","ok")</f>
        <v>ok</v>
      </c>
      <c r="P36" s="79" t="str">
        <f>IF(L36*F36/100&lt;Grunddaten!B$6*0.85,"zuwenig","ok")</f>
        <v>ok</v>
      </c>
      <c r="Q36" s="79" t="str">
        <f t="shared" si="6"/>
        <v>gut</v>
      </c>
      <c r="R36" s="80"/>
    </row>
    <row r="37" spans="1:18" s="90" customFormat="1" ht="13.5" thickBot="1" x14ac:dyDescent="0.25">
      <c r="A37" s="70" t="s">
        <v>90</v>
      </c>
      <c r="B37" s="83" t="s">
        <v>100</v>
      </c>
      <c r="C37" s="72" t="s">
        <v>91</v>
      </c>
      <c r="D37" s="73"/>
      <c r="E37" s="74">
        <v>80</v>
      </c>
      <c r="F37" s="74">
        <v>10.199999999999999</v>
      </c>
      <c r="G37" s="74">
        <v>5.2</v>
      </c>
      <c r="H37" s="74">
        <v>0.4</v>
      </c>
      <c r="I37" s="74">
        <v>2.5</v>
      </c>
      <c r="J37" s="76">
        <f t="shared" si="0"/>
        <v>105.60249642004767</v>
      </c>
      <c r="K37" s="75">
        <f t="shared" si="1"/>
        <v>8.4999999999999432</v>
      </c>
      <c r="L37" s="77">
        <f>Grunddaten!$B$10/J37*100</f>
        <v>251.41451102059102</v>
      </c>
      <c r="M37" s="78">
        <v>0.56999999999999995</v>
      </c>
      <c r="N37" s="78">
        <f t="shared" si="2"/>
        <v>1.4330627128173687</v>
      </c>
      <c r="O37" s="79" t="str">
        <f>IF(L37*G37/100&lt;Grunddaten!B$7,"zuwenig","ok")</f>
        <v>ok</v>
      </c>
      <c r="P37" s="79" t="str">
        <f>IF(L37*F37/100&lt;Grunddaten!B$6*0.85,"zuwenig","ok")</f>
        <v>ok</v>
      </c>
      <c r="Q37" s="79" t="str">
        <f t="shared" si="6"/>
        <v>gut</v>
      </c>
      <c r="R37" s="80"/>
    </row>
    <row r="38" spans="1:18" s="90" customFormat="1" ht="13.5" thickBot="1" x14ac:dyDescent="0.25">
      <c r="A38" s="70" t="s">
        <v>81</v>
      </c>
      <c r="B38" s="83" t="s">
        <v>83</v>
      </c>
      <c r="C38" s="72" t="s">
        <v>84</v>
      </c>
      <c r="D38" s="73">
        <v>1500</v>
      </c>
      <c r="E38" s="74">
        <v>80</v>
      </c>
      <c r="F38" s="75">
        <v>9</v>
      </c>
      <c r="G38" s="75">
        <v>4.8</v>
      </c>
      <c r="H38" s="75">
        <v>1.5</v>
      </c>
      <c r="I38" s="75">
        <v>2.5</v>
      </c>
      <c r="J38" s="76">
        <f t="shared" si="0"/>
        <v>101.76758949880669</v>
      </c>
      <c r="K38" s="75">
        <f t="shared" si="1"/>
        <v>11.000000000000014</v>
      </c>
      <c r="L38" s="77">
        <f>Grunddaten!$B$10/J38*100</f>
        <v>260.88856118883825</v>
      </c>
      <c r="M38" s="78">
        <v>0.5</v>
      </c>
      <c r="N38" s="78">
        <f t="shared" si="2"/>
        <v>1.3044428059441913</v>
      </c>
      <c r="O38" s="79" t="str">
        <f>IF(L38*G38/100&lt;Grunddaten!B$7,"zuwenig","ok")</f>
        <v>ok</v>
      </c>
      <c r="P38" s="79" t="str">
        <f>IF(L38*F38/100&lt;Grunddaten!B$6*0.85,"zuwenig","ok")</f>
        <v>ok</v>
      </c>
      <c r="Q38" s="79" t="str">
        <f t="shared" si="6"/>
        <v>gut</v>
      </c>
      <c r="R38" s="80" t="s">
        <v>73</v>
      </c>
    </row>
    <row r="39" spans="1:18" s="90" customFormat="1" ht="26.25" thickBot="1" x14ac:dyDescent="0.25">
      <c r="A39" s="70" t="s">
        <v>61</v>
      </c>
      <c r="B39" s="88" t="s">
        <v>5</v>
      </c>
      <c r="C39" s="85"/>
      <c r="D39" s="86" t="s">
        <v>52</v>
      </c>
      <c r="E39" s="74">
        <v>82</v>
      </c>
      <c r="F39" s="74">
        <v>11</v>
      </c>
      <c r="G39" s="74">
        <v>3</v>
      </c>
      <c r="H39" s="74">
        <v>0.2</v>
      </c>
      <c r="I39" s="74">
        <v>2</v>
      </c>
      <c r="J39" s="76">
        <f t="shared" si="0"/>
        <v>89.235847255369904</v>
      </c>
      <c r="K39" s="75">
        <f t="shared" si="1"/>
        <v>9.999999999999984</v>
      </c>
      <c r="L39" s="77">
        <f>Grunddaten!$B$10/J39*100</f>
        <v>297.52617156220606</v>
      </c>
      <c r="M39" s="78">
        <v>0.45</v>
      </c>
      <c r="N39" s="78">
        <f t="shared" si="2"/>
        <v>1.3388677720299273</v>
      </c>
      <c r="O39" s="79" t="str">
        <f>IF(L39*G39/100&lt;Grunddaten!B$7,"zuwenig","ok")</f>
        <v>ok</v>
      </c>
      <c r="P39" s="79" t="str">
        <f>IF(L39*F39/100&lt;Grunddaten!B$6*0.85,"zuwenig","ok")</f>
        <v>ok</v>
      </c>
      <c r="Q39" s="79" t="str">
        <f t="shared" si="6"/>
        <v>gut</v>
      </c>
      <c r="R39" s="80"/>
    </row>
    <row r="40" spans="1:18" s="90" customFormat="1" ht="13.5" thickBot="1" x14ac:dyDescent="0.25">
      <c r="A40" s="70" t="s">
        <v>56</v>
      </c>
      <c r="B40" s="83" t="s">
        <v>50</v>
      </c>
      <c r="C40" s="72" t="s">
        <v>51</v>
      </c>
      <c r="D40" s="89" t="s">
        <v>52</v>
      </c>
      <c r="E40" s="75">
        <v>80</v>
      </c>
      <c r="F40" s="75">
        <v>9</v>
      </c>
      <c r="G40" s="75">
        <v>5</v>
      </c>
      <c r="H40" s="75">
        <v>0.3</v>
      </c>
      <c r="I40" s="75">
        <v>1.5</v>
      </c>
      <c r="J40" s="76">
        <f t="shared" si="0"/>
        <v>106.20957517899762</v>
      </c>
      <c r="K40" s="75">
        <f t="shared" si="1"/>
        <v>21.000000000000014</v>
      </c>
      <c r="L40" s="77">
        <f>Grunddaten!$B$10/J40*100</f>
        <v>249.977461591901</v>
      </c>
      <c r="M40" s="78">
        <f>0.8*100/85</f>
        <v>0.94117647058823528</v>
      </c>
      <c r="N40" s="78">
        <f t="shared" si="2"/>
        <v>2.3527290502767153</v>
      </c>
      <c r="O40" s="79" t="str">
        <f>IF(L40*G40/100&lt;Grunddaten!B$7,"zuwenig","ok")</f>
        <v>ok</v>
      </c>
      <c r="P40" s="79" t="str">
        <f>IF(L40*F40/100&lt;Grunddaten!B$6*0.85,"zuwenig","ok")</f>
        <v>ok</v>
      </c>
      <c r="Q40" s="79" t="str">
        <f t="shared" si="6"/>
        <v>schlecht</v>
      </c>
      <c r="R40" s="80"/>
    </row>
    <row r="41" spans="1:18" s="90" customFormat="1" ht="13.5" thickBot="1" x14ac:dyDescent="0.25">
      <c r="A41" s="70" t="s">
        <v>93</v>
      </c>
      <c r="B41" s="83" t="s">
        <v>123</v>
      </c>
      <c r="C41" s="72" t="s">
        <v>62</v>
      </c>
      <c r="D41" s="73">
        <v>220</v>
      </c>
      <c r="E41" s="75">
        <v>78</v>
      </c>
      <c r="F41" s="75">
        <v>11</v>
      </c>
      <c r="G41" s="75">
        <v>7</v>
      </c>
      <c r="H41" s="75">
        <v>0.4</v>
      </c>
      <c r="I41" s="75">
        <v>2.5</v>
      </c>
      <c r="J41" s="76">
        <f t="shared" si="0"/>
        <v>123.82770883054887</v>
      </c>
      <c r="K41" s="75">
        <f t="shared" si="1"/>
        <v>4.9999999999999742</v>
      </c>
      <c r="L41" s="77">
        <f>Grunddaten!$B$10/J41*100</f>
        <v>214.41081524275117</v>
      </c>
      <c r="M41" s="78">
        <f>7.19/16</f>
        <v>0.44937500000000002</v>
      </c>
      <c r="N41" s="78">
        <f t="shared" si="2"/>
        <v>0.96350860099711311</v>
      </c>
      <c r="O41" s="79" t="str">
        <f>IF(L41*G41/100&lt;Grunddaten!B$7,"zuwenig","ok")</f>
        <v>ok</v>
      </c>
      <c r="P41" s="79" t="str">
        <f>IF(L41*F41/100&lt;Grunddaten!B$6*0.85,"zuwenig","ok")</f>
        <v>ok</v>
      </c>
      <c r="Q41" s="79" t="str">
        <f t="shared" si="6"/>
        <v>gut</v>
      </c>
      <c r="R41" s="80"/>
    </row>
    <row r="42" spans="1:18" s="90" customFormat="1" ht="13.5" thickBot="1" x14ac:dyDescent="0.25">
      <c r="A42" s="70" t="s">
        <v>134</v>
      </c>
      <c r="B42" s="70"/>
      <c r="C42" s="72" t="s">
        <v>62</v>
      </c>
      <c r="D42" s="73">
        <v>350</v>
      </c>
      <c r="E42" s="75">
        <v>82</v>
      </c>
      <c r="F42" s="75">
        <v>10</v>
      </c>
      <c r="G42" s="75">
        <v>4</v>
      </c>
      <c r="H42" s="75">
        <v>0.4</v>
      </c>
      <c r="I42" s="75">
        <v>1.4</v>
      </c>
      <c r="J42" s="87">
        <f t="shared" si="0"/>
        <v>95.451843012463485</v>
      </c>
      <c r="K42" s="75">
        <f t="shared" si="1"/>
        <v>12.222222222222159</v>
      </c>
      <c r="L42" s="77">
        <f>Grunddaten!$B$10/J42*100</f>
        <v>278.15073195111876</v>
      </c>
      <c r="M42" s="78">
        <v>0.45</v>
      </c>
      <c r="N42" s="78">
        <f t="shared" si="2"/>
        <v>1.2516782937800344</v>
      </c>
      <c r="O42" s="79" t="str">
        <f>IF(L42*G42/100&lt;Grunddaten!B$7,"zuwenig","ok")</f>
        <v>ok</v>
      </c>
      <c r="P42" s="79" t="str">
        <f>IF(L42*F42/100&lt;Grunddaten!B$6*0.85,"zuwenig","ok")</f>
        <v>ok</v>
      </c>
      <c r="Q42" s="79" t="str">
        <f t="shared" si="6"/>
        <v>schlecht</v>
      </c>
      <c r="R42" s="80" t="s">
        <v>73</v>
      </c>
    </row>
    <row r="43" spans="1:18" s="90" customFormat="1" ht="13.5" thickBot="1" x14ac:dyDescent="0.25">
      <c r="B43" s="70"/>
      <c r="C43" s="84"/>
      <c r="D43" s="91"/>
      <c r="J43" s="87"/>
      <c r="L43" s="77"/>
      <c r="M43" s="78"/>
      <c r="N43" s="78"/>
      <c r="O43" s="79"/>
      <c r="P43" s="79"/>
      <c r="Q43" s="79"/>
      <c r="R43" s="92"/>
    </row>
    <row r="44" spans="1:18" s="90" customFormat="1" ht="13.5" thickBot="1" x14ac:dyDescent="0.25">
      <c r="A44" s="93"/>
      <c r="B44" s="70"/>
      <c r="C44" s="72"/>
      <c r="D44" s="73"/>
      <c r="E44" s="74"/>
      <c r="F44" s="74"/>
      <c r="G44" s="74"/>
      <c r="H44" s="74"/>
      <c r="I44" s="74"/>
      <c r="J44" s="87"/>
      <c r="K44" s="75"/>
      <c r="L44" s="77"/>
      <c r="M44" s="78"/>
      <c r="N44" s="78"/>
      <c r="O44" s="79"/>
      <c r="P44" s="79"/>
      <c r="Q44" s="79"/>
      <c r="R44" s="80"/>
    </row>
    <row r="45" spans="1:18" s="90" customFormat="1" ht="15.75" thickBot="1" x14ac:dyDescent="0.3">
      <c r="A45" s="94" t="s">
        <v>67</v>
      </c>
      <c r="B45" s="95"/>
      <c r="C45" s="74"/>
      <c r="D45" s="73"/>
      <c r="E45" s="74"/>
      <c r="F45" s="74"/>
      <c r="G45" s="74"/>
      <c r="H45" s="74"/>
      <c r="I45" s="74"/>
      <c r="J45" s="74"/>
      <c r="K45" s="74"/>
      <c r="L45" s="74"/>
      <c r="M45" s="78"/>
      <c r="N45" s="78"/>
      <c r="O45" s="79"/>
      <c r="P45" s="79"/>
      <c r="Q45" s="79"/>
      <c r="R45" s="80"/>
    </row>
    <row r="46" spans="1:18" s="90" customFormat="1" ht="15" x14ac:dyDescent="0.25">
      <c r="A46" s="94"/>
      <c r="B46" s="74"/>
      <c r="C46" s="74"/>
      <c r="D46" s="73"/>
      <c r="E46" s="74"/>
      <c r="F46" s="74"/>
      <c r="G46" s="74"/>
      <c r="H46" s="74"/>
      <c r="I46" s="74"/>
      <c r="J46" s="74"/>
      <c r="K46" s="74"/>
      <c r="L46" s="74"/>
      <c r="M46" s="78"/>
      <c r="N46" s="78"/>
      <c r="O46" s="79"/>
      <c r="P46" s="79"/>
      <c r="Q46" s="79"/>
      <c r="R46" s="80"/>
    </row>
    <row r="47" spans="1:18" s="90" customFormat="1" ht="15" x14ac:dyDescent="0.25">
      <c r="A47" s="94"/>
      <c r="B47" s="74"/>
      <c r="C47" s="74"/>
      <c r="D47" s="73"/>
      <c r="E47" s="74"/>
      <c r="F47" s="74"/>
      <c r="G47" s="74"/>
      <c r="H47" s="74"/>
      <c r="I47" s="74"/>
      <c r="J47" s="74"/>
      <c r="K47" s="74"/>
      <c r="L47" s="74"/>
      <c r="M47" s="78"/>
      <c r="N47" s="78"/>
      <c r="O47" s="79"/>
      <c r="P47" s="79"/>
      <c r="Q47" s="79"/>
      <c r="R47" s="80"/>
    </row>
    <row r="48" spans="1:18" s="90" customFormat="1" ht="15" x14ac:dyDescent="0.25">
      <c r="A48" s="94"/>
      <c r="B48" s="74"/>
      <c r="C48" s="74"/>
      <c r="D48" s="73"/>
      <c r="E48" s="74"/>
      <c r="F48" s="74"/>
      <c r="G48" s="74"/>
      <c r="H48" s="74"/>
      <c r="I48" s="74"/>
      <c r="J48" s="74"/>
      <c r="K48" s="74"/>
      <c r="L48" s="74"/>
      <c r="M48" s="78"/>
      <c r="N48" s="78"/>
      <c r="O48" s="79"/>
      <c r="P48" s="79"/>
      <c r="Q48" s="79"/>
      <c r="R48" s="80"/>
    </row>
    <row r="49" spans="1:18" s="90" customFormat="1" ht="21.75" customHeight="1" thickBot="1" x14ac:dyDescent="0.3">
      <c r="A49" s="96" t="s">
        <v>24</v>
      </c>
      <c r="B49" s="74"/>
      <c r="C49" s="72"/>
      <c r="D49" s="73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97"/>
      <c r="P49" s="79"/>
      <c r="Q49" s="79"/>
      <c r="R49" s="92"/>
    </row>
    <row r="50" spans="1:18" s="90" customFormat="1" ht="39" thickBot="1" x14ac:dyDescent="0.25">
      <c r="A50" s="70" t="s">
        <v>110</v>
      </c>
      <c r="B50" s="98" t="s">
        <v>88</v>
      </c>
      <c r="C50" s="74" t="s">
        <v>109</v>
      </c>
      <c r="D50" s="73">
        <v>900</v>
      </c>
      <c r="E50" s="75">
        <v>9</v>
      </c>
      <c r="F50" s="75">
        <v>32</v>
      </c>
      <c r="G50" s="75">
        <v>13.5</v>
      </c>
      <c r="H50" s="75">
        <v>3.2</v>
      </c>
      <c r="I50" s="75">
        <v>7.5</v>
      </c>
      <c r="J50" s="76">
        <f t="shared" ref="J50:J61" si="16">((24*F50+38*G50+17*H50+17*(K50*(100-E50)/100)*(87.9-(0.88*H50*100/(100-E50)))/100-(3.1*F50))/4.19)</f>
        <v>414.77549057148093</v>
      </c>
      <c r="K50" s="75">
        <f t="shared" ref="K50:K61" si="17">IF((100-F50-G50-H50-I50-E50)&lt;0, 0,(100-F50-G50-H50-I50-E50)*100/(100-E50))</f>
        <v>38.241758241758234</v>
      </c>
      <c r="L50" s="75">
        <f>Grunddaten!$B$10/J50*100</f>
        <v>64.010532453157253</v>
      </c>
      <c r="M50" s="78">
        <v>1.76</v>
      </c>
      <c r="N50" s="78">
        <f t="shared" ref="N50:N61" si="18">L50*M50/100</f>
        <v>1.1265853711755676</v>
      </c>
      <c r="O50" s="79" t="str">
        <f>IF(L50*G50/100&lt;Grunddaten!B$7,"zuwenig","ok")</f>
        <v>ok</v>
      </c>
      <c r="P50" s="79" t="str">
        <f>IF(L50*F50/100&lt;Grunddaten!B$6*0.85,"zuwenig","ok")</f>
        <v>ok</v>
      </c>
      <c r="Q50" s="79" t="str">
        <f t="shared" ref="Q50:Q61" si="19">IF(K50&lt;=12,"gut","schlecht")</f>
        <v>schlecht</v>
      </c>
      <c r="R50" s="92"/>
    </row>
    <row r="51" spans="1:18" s="90" customFormat="1" ht="50.25" customHeight="1" thickBot="1" x14ac:dyDescent="0.25">
      <c r="A51" s="70" t="s">
        <v>105</v>
      </c>
      <c r="B51" s="98" t="s">
        <v>106</v>
      </c>
      <c r="C51" s="74" t="s">
        <v>107</v>
      </c>
      <c r="D51" s="73">
        <v>1000</v>
      </c>
      <c r="E51" s="75">
        <v>10</v>
      </c>
      <c r="F51" s="75">
        <v>33</v>
      </c>
      <c r="G51" s="75">
        <v>15</v>
      </c>
      <c r="H51" s="75">
        <v>3</v>
      </c>
      <c r="I51" s="75">
        <v>7.5</v>
      </c>
      <c r="J51" s="76">
        <f t="shared" si="16"/>
        <v>421.40727923627679</v>
      </c>
      <c r="K51" s="75">
        <f t="shared" si="17"/>
        <v>35</v>
      </c>
      <c r="L51" s="75">
        <f>Grunddaten!$B$10/J51*100</f>
        <v>63.003183163131382</v>
      </c>
      <c r="M51" s="78">
        <v>0.66</v>
      </c>
      <c r="N51" s="78">
        <f t="shared" si="18"/>
        <v>0.41582100887666712</v>
      </c>
      <c r="O51" s="79" t="str">
        <f>IF(L51*G51/100&lt;Grunddaten!B$7,"zuwenig","ok")</f>
        <v>ok</v>
      </c>
      <c r="P51" s="79" t="str">
        <f>IF(L51*F51/100&lt;Grunddaten!B$6*0.85,"zuwenig","ok")</f>
        <v>ok</v>
      </c>
      <c r="Q51" s="79" t="str">
        <f t="shared" si="19"/>
        <v>schlecht</v>
      </c>
      <c r="R51" s="92"/>
    </row>
    <row r="52" spans="1:18" s="90" customFormat="1" ht="26.25" thickBot="1" x14ac:dyDescent="0.25">
      <c r="A52" s="70" t="s">
        <v>115</v>
      </c>
      <c r="B52" s="99" t="s">
        <v>116</v>
      </c>
      <c r="C52" s="74" t="s">
        <v>117</v>
      </c>
      <c r="D52" s="73">
        <v>1977</v>
      </c>
      <c r="E52" s="75">
        <v>6</v>
      </c>
      <c r="F52" s="75">
        <v>30.8</v>
      </c>
      <c r="G52" s="75">
        <v>17.3</v>
      </c>
      <c r="H52" s="75">
        <v>1.2</v>
      </c>
      <c r="I52" s="75">
        <v>5.2</v>
      </c>
      <c r="J52" s="76">
        <f t="shared" si="16"/>
        <v>454.46893566241806</v>
      </c>
      <c r="K52" s="75">
        <f t="shared" si="17"/>
        <v>42.021276595744681</v>
      </c>
      <c r="L52" s="75">
        <f>Grunddaten!$B$10/J52*100</f>
        <v>58.419834485060342</v>
      </c>
      <c r="M52" s="78">
        <v>1.03</v>
      </c>
      <c r="N52" s="78">
        <f t="shared" si="18"/>
        <v>0.60172429519612147</v>
      </c>
      <c r="O52" s="79" t="str">
        <f>IF(L52*G52/100&lt;Grunddaten!B$7,"zuwenig","ok")</f>
        <v>ok</v>
      </c>
      <c r="P52" s="79" t="str">
        <f>IF(L52*F52/100&lt;Grunddaten!B$6*0.85,"zuwenig","ok")</f>
        <v>zuwenig</v>
      </c>
      <c r="Q52" s="79" t="str">
        <f t="shared" si="19"/>
        <v>schlecht</v>
      </c>
      <c r="R52" s="100" t="s">
        <v>73</v>
      </c>
    </row>
    <row r="53" spans="1:18" s="90" customFormat="1" ht="26.25" thickBot="1" x14ac:dyDescent="0.25">
      <c r="A53" s="70" t="s">
        <v>113</v>
      </c>
      <c r="B53" s="98" t="s">
        <v>114</v>
      </c>
      <c r="C53" s="74" t="s">
        <v>104</v>
      </c>
      <c r="D53" s="73">
        <v>2000</v>
      </c>
      <c r="E53" s="75">
        <v>8</v>
      </c>
      <c r="F53" s="75">
        <v>31</v>
      </c>
      <c r="G53" s="75">
        <v>7.8</v>
      </c>
      <c r="H53" s="75">
        <v>7.4</v>
      </c>
      <c r="I53" s="75">
        <v>5.6</v>
      </c>
      <c r="J53" s="76">
        <f t="shared" si="16"/>
        <v>387.21617308290968</v>
      </c>
      <c r="K53" s="75">
        <f t="shared" si="17"/>
        <v>43.695652173913047</v>
      </c>
      <c r="L53" s="75">
        <f>Grunddaten!$B$10/J53*100</f>
        <v>68.566350905790259</v>
      </c>
      <c r="M53" s="78">
        <v>1.23</v>
      </c>
      <c r="N53" s="78">
        <f t="shared" si="18"/>
        <v>0.84336611614122026</v>
      </c>
      <c r="O53" s="79" t="str">
        <f>IF(L53*G53/100&lt;Grunddaten!B$7,"zuwenig","ok")</f>
        <v>zuwenig</v>
      </c>
      <c r="P53" s="79" t="str">
        <f>IF(L53*F53/100&lt;Grunddaten!B$6*0.85,"zuwenig","ok")</f>
        <v>ok</v>
      </c>
      <c r="Q53" s="79" t="str">
        <f t="shared" si="19"/>
        <v>schlecht</v>
      </c>
      <c r="R53" s="92"/>
    </row>
    <row r="54" spans="1:18" s="90" customFormat="1" ht="13.5" thickBot="1" x14ac:dyDescent="0.25">
      <c r="A54" s="70" t="s">
        <v>118</v>
      </c>
      <c r="B54" s="95" t="s">
        <v>92</v>
      </c>
      <c r="C54" s="72" t="s">
        <v>11</v>
      </c>
      <c r="D54" s="73">
        <v>2000</v>
      </c>
      <c r="E54" s="75">
        <v>8</v>
      </c>
      <c r="F54" s="75">
        <v>32</v>
      </c>
      <c r="G54" s="75">
        <v>18</v>
      </c>
      <c r="H54" s="75">
        <v>4</v>
      </c>
      <c r="I54" s="75">
        <v>8.5</v>
      </c>
      <c r="J54" s="76">
        <f t="shared" si="16"/>
        <v>439.72092456158555</v>
      </c>
      <c r="K54" s="75">
        <f t="shared" si="17"/>
        <v>32.065217391304351</v>
      </c>
      <c r="L54" s="75">
        <f>Grunddaten!$B$10/J54*100</f>
        <v>60.379205348190148</v>
      </c>
      <c r="M54" s="101">
        <v>0.7</v>
      </c>
      <c r="N54" s="101">
        <f t="shared" si="18"/>
        <v>0.422654437437331</v>
      </c>
      <c r="O54" s="79" t="str">
        <f>IF(L54*G54/100&lt;Grunddaten!B$7,"zuwenig","ok")</f>
        <v>ok</v>
      </c>
      <c r="P54" s="79" t="str">
        <f>IF(L54*F54/100&lt;Grunddaten!B$6*0.85,"zuwenig","ok")</f>
        <v>zuwenig</v>
      </c>
      <c r="Q54" s="79" t="str">
        <f t="shared" si="19"/>
        <v>schlecht</v>
      </c>
      <c r="R54" s="92"/>
    </row>
    <row r="55" spans="1:18" s="90" customFormat="1" ht="26.25" thickBot="1" x14ac:dyDescent="0.25">
      <c r="A55" s="102" t="s">
        <v>119</v>
      </c>
      <c r="B55" s="102" t="s">
        <v>120</v>
      </c>
      <c r="C55" s="74" t="s">
        <v>104</v>
      </c>
      <c r="D55" s="73">
        <v>800</v>
      </c>
      <c r="E55" s="75">
        <v>10</v>
      </c>
      <c r="F55" s="75">
        <v>34</v>
      </c>
      <c r="G55" s="75">
        <v>20</v>
      </c>
      <c r="H55" s="75">
        <v>2</v>
      </c>
      <c r="I55" s="75">
        <v>7.5</v>
      </c>
      <c r="J55" s="76">
        <f t="shared" si="16"/>
        <v>451.49874038716513</v>
      </c>
      <c r="K55" s="75">
        <f t="shared" si="17"/>
        <v>29.444444444444443</v>
      </c>
      <c r="L55" s="75">
        <f>Grunddaten!$B$10/J55*100</f>
        <v>58.804150765145181</v>
      </c>
      <c r="M55" s="101">
        <v>0.82499999999999996</v>
      </c>
      <c r="N55" s="101">
        <f t="shared" si="18"/>
        <v>0.48513424381244774</v>
      </c>
      <c r="O55" s="79" t="str">
        <f>IF(L55*G55/100&lt;Grunddaten!B$7,"zuwenig","ok")</f>
        <v>ok</v>
      </c>
      <c r="P55" s="79" t="str">
        <f>IF(L55*F55/100&lt;Grunddaten!B$6*0.85,"zuwenig","ok")</f>
        <v>zuwenig</v>
      </c>
      <c r="Q55" s="79" t="str">
        <f t="shared" si="19"/>
        <v>schlecht</v>
      </c>
      <c r="R55" s="92" t="s">
        <v>73</v>
      </c>
    </row>
    <row r="56" spans="1:18" s="90" customFormat="1" ht="26.25" thickBot="1" x14ac:dyDescent="0.25">
      <c r="A56" s="70" t="s">
        <v>103</v>
      </c>
      <c r="B56" s="95"/>
      <c r="C56" s="72" t="s">
        <v>104</v>
      </c>
      <c r="D56" s="73">
        <v>700</v>
      </c>
      <c r="E56" s="75">
        <v>12</v>
      </c>
      <c r="F56" s="75">
        <v>36</v>
      </c>
      <c r="G56" s="75">
        <v>16</v>
      </c>
      <c r="H56" s="75">
        <v>2</v>
      </c>
      <c r="I56" s="75">
        <v>7.5</v>
      </c>
      <c r="J56" s="76">
        <f t="shared" si="16"/>
        <v>425.15023866348446</v>
      </c>
      <c r="K56" s="75">
        <f t="shared" si="17"/>
        <v>30.113636363636363</v>
      </c>
      <c r="L56" s="75">
        <f>Grunddaten!$B$10/J56*100</f>
        <v>62.448512515160303</v>
      </c>
      <c r="M56" s="101">
        <v>0.59</v>
      </c>
      <c r="N56" s="101">
        <f t="shared" si="18"/>
        <v>0.36844622383944575</v>
      </c>
      <c r="O56" s="79" t="str">
        <f>IF(L56*G56/100&lt;Grunddaten!B$7,"zuwenig","ok")</f>
        <v>ok</v>
      </c>
      <c r="P56" s="79" t="str">
        <f>IF(L56*F56/100&lt;Grunddaten!B$6*0.85,"zuwenig","ok")</f>
        <v>ok</v>
      </c>
      <c r="Q56" s="79" t="str">
        <f t="shared" si="19"/>
        <v>schlecht</v>
      </c>
      <c r="R56" s="92"/>
    </row>
    <row r="57" spans="1:18" s="90" customFormat="1" ht="13.5" thickBot="1" x14ac:dyDescent="0.25">
      <c r="A57" s="102" t="s">
        <v>111</v>
      </c>
      <c r="B57" s="102" t="s">
        <v>112</v>
      </c>
      <c r="C57" s="74" t="s">
        <v>11</v>
      </c>
      <c r="D57" s="73"/>
      <c r="E57" s="75">
        <v>5.5</v>
      </c>
      <c r="F57" s="75">
        <v>34</v>
      </c>
      <c r="G57" s="75">
        <v>12</v>
      </c>
      <c r="H57" s="75">
        <v>9.8000000000000007</v>
      </c>
      <c r="I57" s="75">
        <v>7.1</v>
      </c>
      <c r="J57" s="76">
        <f t="shared" si="16"/>
        <v>419.18241668876504</v>
      </c>
      <c r="K57" s="75">
        <f t="shared" si="17"/>
        <v>33.439153439153436</v>
      </c>
      <c r="L57" s="75">
        <f>Grunddaten!$B$10/J57*100</f>
        <v>63.337580353979561</v>
      </c>
      <c r="M57" s="101">
        <v>1.1399999999999999</v>
      </c>
      <c r="N57" s="101">
        <f t="shared" si="18"/>
        <v>0.72204841603536696</v>
      </c>
      <c r="O57" s="79" t="str">
        <f>IF(L57*G57/100&lt;Grunddaten!B$7,"zuwenig","ok")</f>
        <v>ok</v>
      </c>
      <c r="P57" s="79" t="str">
        <f>IF(L57*F57/100&lt;Grunddaten!B$6*0.85,"zuwenig","ok")</f>
        <v>ok</v>
      </c>
      <c r="Q57" s="79" t="str">
        <f t="shared" si="19"/>
        <v>schlecht</v>
      </c>
      <c r="R57" s="92" t="s">
        <v>73</v>
      </c>
    </row>
    <row r="58" spans="1:18" s="90" customFormat="1" ht="13.5" thickBot="1" x14ac:dyDescent="0.25">
      <c r="A58" s="70" t="s">
        <v>63</v>
      </c>
      <c r="B58" s="82" t="s">
        <v>64</v>
      </c>
      <c r="C58" s="74" t="s">
        <v>10</v>
      </c>
      <c r="D58" s="73"/>
      <c r="E58" s="75">
        <v>8</v>
      </c>
      <c r="F58" s="75">
        <v>33</v>
      </c>
      <c r="G58" s="75">
        <v>22</v>
      </c>
      <c r="H58" s="75">
        <v>1.6</v>
      </c>
      <c r="I58" s="75">
        <v>7.4</v>
      </c>
      <c r="J58" s="76">
        <f t="shared" si="16"/>
        <v>468.73964926844457</v>
      </c>
      <c r="K58" s="75">
        <f t="shared" si="17"/>
        <v>30.434782608695652</v>
      </c>
      <c r="L58" s="75">
        <f>Grunddaten!$B$10/J58*100</f>
        <v>56.641250727213311</v>
      </c>
      <c r="M58" s="78">
        <v>1.1499999999999999</v>
      </c>
      <c r="N58" s="78">
        <f t="shared" si="18"/>
        <v>0.65137438336295306</v>
      </c>
      <c r="O58" s="79" t="str">
        <f>IF(L58*G58/100&lt;Grunddaten!B$7,"zuwenig","ok")</f>
        <v>ok</v>
      </c>
      <c r="P58" s="79" t="str">
        <f>IF(L58*F58/100&lt;Grunddaten!B$6*0.85,"zuwenig","ok")</f>
        <v>zuwenig</v>
      </c>
      <c r="Q58" s="79" t="str">
        <f t="shared" si="19"/>
        <v>schlecht</v>
      </c>
      <c r="R58" s="92"/>
    </row>
    <row r="59" spans="1:18" s="90" customFormat="1" ht="13.5" thickBot="1" x14ac:dyDescent="0.25">
      <c r="A59" s="70" t="s">
        <v>65</v>
      </c>
      <c r="B59" s="102" t="s">
        <v>108</v>
      </c>
      <c r="C59" s="72" t="s">
        <v>10</v>
      </c>
      <c r="D59" s="73">
        <v>2000</v>
      </c>
      <c r="E59" s="75">
        <v>10</v>
      </c>
      <c r="F59" s="75">
        <v>31</v>
      </c>
      <c r="G59" s="75">
        <v>16</v>
      </c>
      <c r="H59" s="75">
        <v>2.5</v>
      </c>
      <c r="I59" s="75">
        <v>6.6</v>
      </c>
      <c r="J59" s="76">
        <f t="shared" si="16"/>
        <v>427.41774860779634</v>
      </c>
      <c r="K59" s="75">
        <f t="shared" si="17"/>
        <v>37.666666666666664</v>
      </c>
      <c r="L59" s="75">
        <f>Grunddaten!$B$10/J59*100</f>
        <v>62.117214566965963</v>
      </c>
      <c r="M59" s="78">
        <v>0.9</v>
      </c>
      <c r="N59" s="101">
        <f t="shared" si="18"/>
        <v>0.55905493110269366</v>
      </c>
      <c r="O59" s="79" t="str">
        <f>IF(L59*G59/100&lt;Grunddaten!B$7,"zuwenig","ok")</f>
        <v>ok</v>
      </c>
      <c r="P59" s="79" t="str">
        <f>IF(L59*F59/100&lt;Grunddaten!B$6*0.85,"zuwenig","ok")</f>
        <v>zuwenig</v>
      </c>
      <c r="Q59" s="79" t="str">
        <f t="shared" si="19"/>
        <v>schlecht</v>
      </c>
      <c r="R59" s="92"/>
    </row>
    <row r="60" spans="1:18" s="90" customFormat="1" ht="13.5" thickBot="1" x14ac:dyDescent="0.25">
      <c r="A60" s="103" t="s">
        <v>66</v>
      </c>
      <c r="B60" s="82" t="s">
        <v>21</v>
      </c>
      <c r="C60" s="72" t="s">
        <v>10</v>
      </c>
      <c r="D60" s="73">
        <v>2000</v>
      </c>
      <c r="E60" s="75">
        <v>10</v>
      </c>
      <c r="F60" s="75">
        <v>29</v>
      </c>
      <c r="G60" s="75">
        <v>13</v>
      </c>
      <c r="H60" s="75">
        <v>5</v>
      </c>
      <c r="I60" s="75">
        <v>6.6</v>
      </c>
      <c r="J60" s="76">
        <f t="shared" si="16"/>
        <v>405.43502519225666</v>
      </c>
      <c r="K60" s="75">
        <f t="shared" si="17"/>
        <v>40.444444444444443</v>
      </c>
      <c r="L60" s="75">
        <f>Grunddaten!$B$10/J60*100</f>
        <v>65.485215509957555</v>
      </c>
      <c r="M60" s="78">
        <v>0.7</v>
      </c>
      <c r="N60" s="78">
        <f t="shared" si="18"/>
        <v>0.45839650856970288</v>
      </c>
      <c r="O60" s="79" t="str">
        <f>IF(L60*G60/100&lt;Grunddaten!B$7,"zuwenig","ok")</f>
        <v>ok</v>
      </c>
      <c r="P60" s="79" t="str">
        <f>IF(L60*F60/100&lt;Grunddaten!B$6*0.85,"zuwenig","ok")</f>
        <v>zuwenig</v>
      </c>
      <c r="Q60" s="79" t="str">
        <f t="shared" si="19"/>
        <v>schlecht</v>
      </c>
      <c r="R60" s="92" t="s">
        <v>73</v>
      </c>
    </row>
    <row r="61" spans="1:18" s="90" customFormat="1" ht="13.5" thickBot="1" x14ac:dyDescent="0.25">
      <c r="A61" s="104" t="s">
        <v>22</v>
      </c>
      <c r="B61" s="98" t="s">
        <v>108</v>
      </c>
      <c r="C61" s="74" t="s">
        <v>10</v>
      </c>
      <c r="D61" s="73">
        <v>2000</v>
      </c>
      <c r="E61" s="75">
        <v>10</v>
      </c>
      <c r="F61" s="75">
        <v>32.5</v>
      </c>
      <c r="G61" s="75">
        <v>22.5</v>
      </c>
      <c r="H61" s="75">
        <v>2.5</v>
      </c>
      <c r="I61" s="75">
        <v>6.6</v>
      </c>
      <c r="J61" s="87">
        <f t="shared" si="16"/>
        <v>466.11236542031293</v>
      </c>
      <c r="K61" s="75">
        <f t="shared" si="17"/>
        <v>28.777777777777779</v>
      </c>
      <c r="L61" s="75">
        <f>Grunddaten!$B$10/J61*100</f>
        <v>56.960514180006271</v>
      </c>
      <c r="M61" s="78">
        <v>0.72</v>
      </c>
      <c r="N61" s="78">
        <f t="shared" si="18"/>
        <v>0.41011570209604514</v>
      </c>
      <c r="O61" s="79" t="str">
        <f>IF(L61*G61/100&lt;Grunddaten!B$7,"zuwenig","ok")</f>
        <v>ok</v>
      </c>
      <c r="P61" s="79" t="str">
        <f>IF(L61*F61/100&lt;Grunddaten!B$6*0.85,"zuwenig","ok")</f>
        <v>zuwenig</v>
      </c>
      <c r="Q61" s="79" t="str">
        <f t="shared" si="19"/>
        <v>schlecht</v>
      </c>
      <c r="R61" s="92"/>
    </row>
    <row r="62" spans="1:18" s="90" customFormat="1" ht="13.5" thickBot="1" x14ac:dyDescent="0.25">
      <c r="A62" s="104"/>
      <c r="B62" s="98"/>
      <c r="C62" s="74"/>
      <c r="D62" s="73"/>
      <c r="E62" s="75"/>
      <c r="F62" s="75"/>
      <c r="G62" s="75"/>
      <c r="H62" s="75"/>
      <c r="I62" s="75"/>
      <c r="J62" s="87"/>
      <c r="K62" s="75"/>
      <c r="L62" s="75"/>
      <c r="M62" s="78"/>
      <c r="N62" s="78"/>
      <c r="O62" s="79"/>
      <c r="P62" s="79"/>
      <c r="Q62" s="79"/>
      <c r="R62" s="92"/>
    </row>
    <row r="63" spans="1:18" s="90" customFormat="1" ht="13.5" thickBot="1" x14ac:dyDescent="0.25">
      <c r="B63" s="98"/>
      <c r="C63" s="74"/>
      <c r="D63" s="73"/>
      <c r="E63" s="75"/>
      <c r="F63" s="75"/>
      <c r="G63" s="75"/>
      <c r="H63" s="75"/>
      <c r="I63" s="75"/>
      <c r="J63" s="87"/>
      <c r="K63" s="75"/>
      <c r="L63" s="75"/>
      <c r="M63" s="78"/>
      <c r="N63" s="78"/>
      <c r="O63" s="79"/>
      <c r="P63" s="79"/>
      <c r="Q63" s="79"/>
      <c r="R63" s="92"/>
    </row>
    <row r="64" spans="1:18" s="90" customFormat="1" ht="76.5" x14ac:dyDescent="0.2">
      <c r="A64" s="105"/>
      <c r="C64" s="84"/>
      <c r="D64" s="91"/>
      <c r="J64" s="77"/>
      <c r="K64" s="75"/>
      <c r="M64" s="78"/>
      <c r="N64" s="78"/>
      <c r="O64" s="79"/>
      <c r="P64" s="79"/>
      <c r="Q64" s="79" t="s">
        <v>77</v>
      </c>
      <c r="R64" s="92"/>
    </row>
    <row r="65" spans="10:17" x14ac:dyDescent="0.2">
      <c r="J65" s="2"/>
      <c r="K65" s="1"/>
      <c r="L65" s="2">
        <f>PERCENTILE(L4:L44,0.55)</f>
        <v>251.41451102059102</v>
      </c>
      <c r="M65" s="4"/>
      <c r="N65" s="4"/>
      <c r="O65" s="59"/>
      <c r="P65" s="60"/>
      <c r="Q65" s="60"/>
    </row>
    <row r="66" spans="10:17" x14ac:dyDescent="0.2">
      <c r="L66" s="2">
        <f>PERCENTILE(L50:L63,0.55)</f>
        <v>62.47624604755886</v>
      </c>
    </row>
  </sheetData>
  <sheetProtection algorithmName="SHA-512" hashValue="k65oJciDi4QbNcRl62Lu8uAjdr7Jjqr/VZe+vt/8D9fmcv6x0ojeFvtzoc7JSzpH/kvN4hB4xlOlQzqbRtYIfA==" saltValue="Hc9qTlkk13L9tmsMXg+/eQ==" spinCount="100000" sheet="1" objects="1" scenarios="1" formatCells="0" insertRows="0" deleteRows="0" autoFilter="0"/>
  <protectedRanges>
    <protectedRange algorithmName="SHA-512" hashValue="Z5YqO9wy5xR0bFaOeNyp5Qv5BRLeatUAa4YaEYNET4mssn9XRLk4N3z7OJAITtoHWbvkgf6RNLFc/VATF0gsBA==" saltValue="I2u+FxTpE1/yggQr3o7I1g==" spinCount="100000" sqref="A1:R3" name="Bereich1" securityDescriptor="O:WDG:WDD:(D;;CC;;;BU)(A;;CC;;;LA)"/>
  </protectedRanges>
  <sortState xmlns:xlrd2="http://schemas.microsoft.com/office/spreadsheetml/2017/richdata2" ref="A50:R61">
    <sortCondition ref="A50:A61"/>
  </sortState>
  <mergeCells count="1">
    <mergeCell ref="O1:Q1"/>
  </mergeCells>
  <phoneticPr fontId="0" type="noConversion"/>
  <conditionalFormatting sqref="L4:L44">
    <cfRule type="cellIs" dxfId="1" priority="12" stopIfTrue="1" operator="lessThan">
      <formula>$L$65</formula>
    </cfRule>
  </conditionalFormatting>
  <conditionalFormatting sqref="L50:L63">
    <cfRule type="cellIs" dxfId="0" priority="11" stopIfTrue="1" operator="lessThan">
      <formula>$L$66</formula>
    </cfRule>
  </conditionalFormatting>
  <printOptions headings="1" gridLines="1"/>
  <pageMargins left="0.23622047244094491" right="0.23622047244094491" top="0.35433070866141736" bottom="0.74803149606299213" header="0.31496062992125984" footer="0.31496062992125984"/>
  <pageSetup paperSize="9" scale="68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Grunddaten</vt:lpstr>
      <vt:lpstr>Futterauswertung</vt:lpstr>
      <vt:lpstr>Futterauswertung!Druckbereich</vt:lpstr>
      <vt:lpstr>Futterauswertung!Drucktitel</vt:lpstr>
    </vt:vector>
  </TitlesOfParts>
  <Company>NN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Laufer</dc:creator>
  <cp:lastModifiedBy>thomas Laufer</cp:lastModifiedBy>
  <cp:lastPrinted>2026-07-07T11:18:46Z</cp:lastPrinted>
  <dcterms:created xsi:type="dcterms:W3CDTF">2006-09-30T10:17:31Z</dcterms:created>
  <dcterms:modified xsi:type="dcterms:W3CDTF">2026-07-20T14:41:14Z</dcterms:modified>
</cp:coreProperties>
</file>