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igene Dateien\katze\"/>
    </mc:Choice>
  </mc:AlternateContent>
  <xr:revisionPtr revIDLastSave="0" documentId="13_ncr:1_{13645026-F1B7-41FF-9D62-3F69BFD0A86A}" xr6:coauthVersionLast="47" xr6:coauthVersionMax="47" xr10:uidLastSave="{00000000-0000-0000-0000-000000000000}"/>
  <bookViews>
    <workbookView xWindow="29925" yWindow="570" windowWidth="24435" windowHeight="14250" activeTab="1" xr2:uid="{00000000-000D-0000-FFFF-FFFF00000000}"/>
  </bookViews>
  <sheets>
    <sheet name="Grunddaten" sheetId="1" r:id="rId1"/>
    <sheet name="Futterauswertung" sheetId="2" r:id="rId2"/>
  </sheets>
  <definedNames>
    <definedName name="_xlnm._FilterDatabase" localSheetId="0" hidden="1">Futterauswertung!$A$1:$Q$29</definedName>
    <definedName name="_xlnm.Print_Titles" localSheetId="1">Futterauswertung!$1:$2</definedName>
  </definedNames>
  <calcPr calcId="191029"/>
</workbook>
</file>

<file path=xl/calcChain.xml><?xml version="1.0" encoding="utf-8"?>
<calcChain xmlns="http://schemas.openxmlformats.org/spreadsheetml/2006/main">
  <c r="Q33" i="2" l="1"/>
  <c r="P33" i="2"/>
  <c r="O33" i="2"/>
  <c r="L33" i="2"/>
  <c r="N33" i="2" s="1"/>
  <c r="K33" i="2"/>
  <c r="J33" i="2" s="1"/>
  <c r="K41" i="2"/>
  <c r="J41" i="2" s="1"/>
  <c r="K15" i="2"/>
  <c r="Q15" i="2" s="1"/>
  <c r="M13" i="2"/>
  <c r="K13" i="2"/>
  <c r="Q13" i="2" s="1"/>
  <c r="K14" i="2"/>
  <c r="Q14" i="2" s="1"/>
  <c r="K12" i="2"/>
  <c r="Q12" i="2" s="1"/>
  <c r="K31" i="2"/>
  <c r="Q31" i="2" s="1"/>
  <c r="K17" i="2"/>
  <c r="Q17" i="2" s="1"/>
  <c r="K25" i="2"/>
  <c r="Q25" i="2" s="1"/>
  <c r="B7" i="1"/>
  <c r="O2" i="2"/>
  <c r="B6" i="1"/>
  <c r="P2" i="2" s="1"/>
  <c r="B10" i="1"/>
  <c r="K22" i="2"/>
  <c r="Q22" i="2" s="1"/>
  <c r="K51" i="2"/>
  <c r="J51" i="2" s="1"/>
  <c r="L51" i="2" s="1"/>
  <c r="K50" i="2"/>
  <c r="J50" i="2" s="1"/>
  <c r="L50" i="2" s="1"/>
  <c r="K49" i="2"/>
  <c r="J49" i="2" s="1"/>
  <c r="L49" i="2" s="1"/>
  <c r="K21" i="2"/>
  <c r="Q21" i="2"/>
  <c r="K32" i="2"/>
  <c r="Q32" i="2" s="1"/>
  <c r="K39" i="2"/>
  <c r="J39" i="2" s="1"/>
  <c r="L39" i="2" s="1"/>
  <c r="K46" i="2"/>
  <c r="J46" i="2" s="1"/>
  <c r="L46" i="2" s="1"/>
  <c r="M47" i="2"/>
  <c r="M11" i="2"/>
  <c r="M6" i="2"/>
  <c r="K23" i="2"/>
  <c r="J23" i="2" s="1"/>
  <c r="L23" i="2" s="1"/>
  <c r="K11" i="2"/>
  <c r="J11" i="2" s="1"/>
  <c r="L11" i="2" s="1"/>
  <c r="K48" i="2"/>
  <c r="J48" i="2" s="1"/>
  <c r="L48" i="2" s="1"/>
  <c r="K6" i="2"/>
  <c r="J6" i="2" s="1"/>
  <c r="L6" i="2" s="1"/>
  <c r="M28" i="2"/>
  <c r="M27" i="2"/>
  <c r="K27" i="2"/>
  <c r="Q27" i="2" s="1"/>
  <c r="S9" i="1"/>
  <c r="R9" i="1"/>
  <c r="Q9" i="1"/>
  <c r="P9" i="1"/>
  <c r="O9" i="1"/>
  <c r="M9" i="1"/>
  <c r="L9" i="1"/>
  <c r="K9" i="1"/>
  <c r="J9" i="1"/>
  <c r="K42" i="2"/>
  <c r="J42" i="2"/>
  <c r="L42" i="2" s="1"/>
  <c r="K45" i="2"/>
  <c r="J45" i="2" s="1"/>
  <c r="L45" i="2" s="1"/>
  <c r="K47" i="2"/>
  <c r="J47" i="2" s="1"/>
  <c r="K43" i="2"/>
  <c r="J43" i="2"/>
  <c r="L43" i="2" s="1"/>
  <c r="K40" i="2"/>
  <c r="J40" i="2" s="1"/>
  <c r="L40" i="2" s="1"/>
  <c r="K44" i="2"/>
  <c r="J44" i="2"/>
  <c r="L44" i="2" s="1"/>
  <c r="K30" i="2"/>
  <c r="Q30" i="2" s="1"/>
  <c r="K9" i="2"/>
  <c r="J9" i="2"/>
  <c r="L9" i="2" s="1"/>
  <c r="K19" i="2"/>
  <c r="J19" i="2" s="1"/>
  <c r="K10" i="2"/>
  <c r="J10" i="2" s="1"/>
  <c r="Q10" i="2"/>
  <c r="K28" i="2"/>
  <c r="J28" i="2" s="1"/>
  <c r="L28" i="2" s="1"/>
  <c r="K26" i="2"/>
  <c r="Q26" i="2" s="1"/>
  <c r="J26" i="2"/>
  <c r="L26" i="2" s="1"/>
  <c r="K20" i="2"/>
  <c r="J20" i="2" s="1"/>
  <c r="L20" i="2" s="1"/>
  <c r="K7" i="2"/>
  <c r="J7" i="2" s="1"/>
  <c r="L7" i="2" s="1"/>
  <c r="K29" i="2"/>
  <c r="Q29" i="2" s="1"/>
  <c r="K18" i="2"/>
  <c r="J18" i="2" s="1"/>
  <c r="L18" i="2" s="1"/>
  <c r="K8" i="2"/>
  <c r="Q8" i="2" s="1"/>
  <c r="K5" i="2"/>
  <c r="J5" i="2"/>
  <c r="L5" i="2" s="1"/>
  <c r="K16" i="2"/>
  <c r="Q16" i="2"/>
  <c r="K24" i="2"/>
  <c r="J24" i="2" s="1"/>
  <c r="L24" i="2" s="1"/>
  <c r="K4" i="2"/>
  <c r="Q4" i="2"/>
  <c r="D10" i="1"/>
  <c r="J22" i="2"/>
  <c r="L22" i="2"/>
  <c r="N22" i="2" s="1"/>
  <c r="J21" i="2"/>
  <c r="L21" i="2" s="1"/>
  <c r="J31" i="2"/>
  <c r="L31" i="2"/>
  <c r="P31" i="2" s="1"/>
  <c r="Q18" i="2"/>
  <c r="Q11" i="2"/>
  <c r="J14" i="2"/>
  <c r="L14" i="2" s="1"/>
  <c r="Q19" i="2"/>
  <c r="J13" i="2"/>
  <c r="L13" i="2" s="1"/>
  <c r="J12" i="2"/>
  <c r="L12" i="2" s="1"/>
  <c r="J4" i="2"/>
  <c r="L4" i="2" s="1"/>
  <c r="P4" i="2" s="1"/>
  <c r="O22" i="2"/>
  <c r="J16" i="2"/>
  <c r="L16" i="2" s="1"/>
  <c r="Q5" i="2"/>
  <c r="Q7" i="2"/>
  <c r="Q9" i="2"/>
  <c r="J8" i="2" l="1"/>
  <c r="L8" i="2" s="1"/>
  <c r="N8" i="2" s="1"/>
  <c r="J17" i="2"/>
  <c r="L17" i="2" s="1"/>
  <c r="O39" i="2"/>
  <c r="N39" i="2"/>
  <c r="O51" i="2"/>
  <c r="N51" i="2"/>
  <c r="P51" i="2"/>
  <c r="P21" i="2"/>
  <c r="O21" i="2"/>
  <c r="O13" i="2"/>
  <c r="N13" i="2"/>
  <c r="L10" i="2"/>
  <c r="L19" i="2"/>
  <c r="P19" i="2" s="1"/>
  <c r="L47" i="2"/>
  <c r="J29" i="2"/>
  <c r="L29" i="2" s="1"/>
  <c r="N31" i="2"/>
  <c r="J30" i="2"/>
  <c r="L30" i="2" s="1"/>
  <c r="P30" i="2" s="1"/>
  <c r="J15" i="2"/>
  <c r="L15" i="2" s="1"/>
  <c r="O15" i="2" s="1"/>
  <c r="Q6" i="2"/>
  <c r="J32" i="2"/>
  <c r="L32" i="2" s="1"/>
  <c r="N32" i="2" s="1"/>
  <c r="Q24" i="2"/>
  <c r="Q20" i="2"/>
  <c r="L41" i="2"/>
  <c r="P41" i="2"/>
  <c r="N41" i="2"/>
  <c r="O41" i="2"/>
  <c r="O44" i="2"/>
  <c r="N44" i="2"/>
  <c r="P44" i="2"/>
  <c r="O5" i="2"/>
  <c r="P5" i="2"/>
  <c r="N5" i="2"/>
  <c r="N28" i="2"/>
  <c r="O28" i="2"/>
  <c r="P28" i="2"/>
  <c r="N11" i="2"/>
  <c r="P11" i="2"/>
  <c r="O11" i="2"/>
  <c r="P40" i="2"/>
  <c r="N40" i="2"/>
  <c r="L55" i="2"/>
  <c r="O40" i="2"/>
  <c r="P49" i="2"/>
  <c r="O49" i="2"/>
  <c r="N49" i="2"/>
  <c r="O23" i="2"/>
  <c r="P23" i="2"/>
  <c r="N23" i="2"/>
  <c r="O50" i="2"/>
  <c r="N50" i="2"/>
  <c r="P50" i="2"/>
  <c r="P10" i="2"/>
  <c r="N10" i="2"/>
  <c r="O10" i="2"/>
  <c r="O29" i="2"/>
  <c r="N29" i="2"/>
  <c r="P29" i="2"/>
  <c r="O18" i="2"/>
  <c r="N18" i="2"/>
  <c r="P18" i="2"/>
  <c r="O30" i="2"/>
  <c r="O47" i="2"/>
  <c r="P47" i="2"/>
  <c r="N47" i="2"/>
  <c r="P26" i="2"/>
  <c r="N26" i="2"/>
  <c r="O26" i="2"/>
  <c r="N14" i="2"/>
  <c r="O14" i="2"/>
  <c r="P14" i="2"/>
  <c r="P43" i="2"/>
  <c r="O43" i="2"/>
  <c r="N43" i="2"/>
  <c r="P45" i="2"/>
  <c r="O45" i="2"/>
  <c r="N45" i="2"/>
  <c r="P46" i="2"/>
  <c r="N46" i="2"/>
  <c r="O46" i="2"/>
  <c r="P16" i="2"/>
  <c r="O16" i="2"/>
  <c r="N16" i="2"/>
  <c r="P42" i="2"/>
  <c r="O42" i="2"/>
  <c r="N42" i="2"/>
  <c r="N7" i="2"/>
  <c r="O7" i="2"/>
  <c r="P7" i="2"/>
  <c r="P9" i="2"/>
  <c r="O9" i="2"/>
  <c r="N9" i="2"/>
  <c r="O48" i="2"/>
  <c r="P48" i="2"/>
  <c r="N48" i="2"/>
  <c r="P12" i="2"/>
  <c r="O12" i="2"/>
  <c r="N12" i="2"/>
  <c r="N24" i="2"/>
  <c r="P24" i="2"/>
  <c r="O24" i="2"/>
  <c r="N20" i="2"/>
  <c r="P20" i="2"/>
  <c r="O20" i="2"/>
  <c r="P6" i="2"/>
  <c r="O6" i="2"/>
  <c r="N6" i="2"/>
  <c r="P22" i="2"/>
  <c r="N21" i="2"/>
  <c r="J25" i="2"/>
  <c r="L25" i="2" s="1"/>
  <c r="P39" i="2"/>
  <c r="J27" i="2"/>
  <c r="L27" i="2" s="1"/>
  <c r="Q23" i="2"/>
  <c r="P13" i="2"/>
  <c r="O31" i="2"/>
  <c r="Q28" i="2"/>
  <c r="O4" i="2"/>
  <c r="O19" i="2"/>
  <c r="N19" i="2"/>
  <c r="N4" i="2"/>
  <c r="P8" i="2" l="1"/>
  <c r="O8" i="2"/>
  <c r="P17" i="2"/>
  <c r="O17" i="2"/>
  <c r="N17" i="2"/>
  <c r="O32" i="2"/>
  <c r="N30" i="2"/>
  <c r="P15" i="2"/>
  <c r="N15" i="2"/>
  <c r="P32" i="2"/>
  <c r="L54" i="2"/>
  <c r="O27" i="2"/>
  <c r="N27" i="2"/>
  <c r="P27" i="2"/>
  <c r="N25" i="2"/>
  <c r="P25" i="2"/>
  <c r="O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C4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Thomas:</t>
        </r>
        <r>
          <rPr>
            <sz val="8"/>
            <color indexed="81"/>
            <rFont val="Tahoma"/>
            <family val="2"/>
          </rPr>
          <t xml:space="preserve">
enthält Butylhydroxyanisol (E 320), Butylhydroxytoluol (E 321) und Propylgallat (E 310) als Antioxidantien.
</t>
        </r>
      </text>
    </comment>
  </commentList>
</comments>
</file>

<file path=xl/sharedStrings.xml><?xml version="1.0" encoding="utf-8"?>
<sst xmlns="http://schemas.openxmlformats.org/spreadsheetml/2006/main" count="190" uniqueCount="147">
  <si>
    <t>Miamor milde Mahlzeit</t>
  </si>
  <si>
    <t>Vitamine</t>
  </si>
  <si>
    <t>Protein</t>
  </si>
  <si>
    <t>Fett</t>
  </si>
  <si>
    <t>AED3</t>
  </si>
  <si>
    <t>ADE</t>
  </si>
  <si>
    <t>ABCE</t>
  </si>
  <si>
    <t>ABDE</t>
  </si>
  <si>
    <t>0,3/0,3</t>
  </si>
  <si>
    <t>0,18/0,16</t>
  </si>
  <si>
    <t>0,3/0,25</t>
  </si>
  <si>
    <t>0,45/0,35</t>
  </si>
  <si>
    <t>0,31/0,28</t>
  </si>
  <si>
    <t>Faser</t>
  </si>
  <si>
    <t>0,4/0,3</t>
  </si>
  <si>
    <t>0,85/0,73</t>
  </si>
  <si>
    <t>ACED3</t>
  </si>
  <si>
    <t>AD3E</t>
  </si>
  <si>
    <t>1/0,7</t>
  </si>
  <si>
    <t>ACD3E</t>
  </si>
  <si>
    <t>Animonda Carny</t>
  </si>
  <si>
    <t>kcal</t>
  </si>
  <si>
    <t>wieviel wiegt die Katze (oder Wunschgewicht)</t>
  </si>
  <si>
    <t>kg</t>
  </si>
  <si>
    <t>g</t>
  </si>
  <si>
    <t>kJoule</t>
  </si>
  <si>
    <t>umsetzbare Energie in Kcal/100g Futter</t>
  </si>
  <si>
    <t>0,23/0,21</t>
  </si>
  <si>
    <t>Bozita diverse</t>
  </si>
  <si>
    <t>0,9/0,65</t>
  </si>
  <si>
    <t>Hills Science Indoor Cat</t>
  </si>
  <si>
    <t>Asche</t>
  </si>
  <si>
    <t>Hills Adult  Huhn</t>
  </si>
  <si>
    <t>1/0.9</t>
  </si>
  <si>
    <t>Sanabelle Sensitive</t>
  </si>
  <si>
    <t>1,1/0,9</t>
  </si>
  <si>
    <t>AD3EB</t>
  </si>
  <si>
    <t>Eingabefelder</t>
  </si>
  <si>
    <t>Trockenfutter</t>
  </si>
  <si>
    <t>Nassfutter</t>
  </si>
  <si>
    <t>Taurin mg/kg</t>
  </si>
  <si>
    <t>Umrechnung</t>
  </si>
  <si>
    <t>berechnete Werte</t>
  </si>
  <si>
    <t>-</t>
  </si>
  <si>
    <t>Energieverbrauch in kcal/Tag und kg Körpergewicht 
bei Gesamtgewicht von:</t>
  </si>
  <si>
    <t>Energiebedarf bitte nach nebenstehender Tabelle schätzen</t>
  </si>
  <si>
    <t>antioxidantien siehe http://www.brockhaus.de/wissen/antioxidationsmittel</t>
  </si>
  <si>
    <t>CD3E</t>
  </si>
  <si>
    <t>wasser-
gehalt</t>
  </si>
  <si>
    <t>0.2/0.13</t>
  </si>
  <si>
    <t>Kattovit Sensitive huhn</t>
  </si>
  <si>
    <t>Schmusy Vollwert Flakes Fleisch</t>
  </si>
  <si>
    <t>0,22/0,17</t>
  </si>
  <si>
    <r>
      <t xml:space="preserve">Tagesbedarf für </t>
    </r>
    <r>
      <rPr>
        <b/>
        <u/>
        <sz val="10"/>
        <rFont val="Arial"/>
        <family val="2"/>
      </rPr>
      <t xml:space="preserve">kastriertes </t>
    </r>
    <r>
      <rPr>
        <sz val="10"/>
        <rFont val="Arial"/>
      </rPr>
      <t>Tier (Energie) in kcal</t>
    </r>
  </si>
  <si>
    <r>
      <t xml:space="preserve">Name
</t>
    </r>
    <r>
      <rPr>
        <sz val="10"/>
        <rFont val="Arial"/>
        <family val="2"/>
      </rPr>
      <t>Alle Analysendaten stammen von Futteretiketten und wurden von mir eingetippt</t>
    </r>
  </si>
  <si>
    <t>idealer Proteinbedarf</t>
  </si>
  <si>
    <t xml:space="preserve">idealer Fettbedarf </t>
  </si>
  <si>
    <t>Katzenmutter (säugend)</t>
  </si>
  <si>
    <t>Erwachsen normalgewichtig</t>
  </si>
  <si>
    <t>Erwachsen übergewichtig</t>
  </si>
  <si>
    <t>kcal--&gt;</t>
  </si>
  <si>
    <t>kcal-&gt;&gt;</t>
  </si>
  <si>
    <t>Angaben vom Futteretikett/Hersteller Webseite</t>
  </si>
  <si>
    <t>Ca/P Verhältnis (möglichst niedrig, aber Phosphor immer kleiner als Calcium)</t>
  </si>
  <si>
    <t>Gesamtgewicht (kg)</t>
  </si>
  <si>
    <t>Kitten,
40 wochen</t>
  </si>
  <si>
    <t>unter 2,25kg</t>
  </si>
  <si>
    <t>Kitten ,
10-15 Woche</t>
  </si>
  <si>
    <t>Kitten ,
16-20 Woche</t>
  </si>
  <si>
    <t>Kitten,
ca 20-25 Woche</t>
  </si>
  <si>
    <t>Tages- kosten des Futters</t>
  </si>
  <si>
    <t>Erwachsen,
älter als 10 Jahre</t>
  </si>
  <si>
    <t>0,39/0,23</t>
  </si>
  <si>
    <t>EB1</t>
  </si>
  <si>
    <t>nix</t>
  </si>
  <si>
    <r>
      <t xml:space="preserve">Ist die Katze Erwachsen dann = 0 eingeben oder
ist es ein Kitten = 1 eingeben oder
ist sie Schwanger/Säugend dann = 2 eingeben </t>
    </r>
    <r>
      <rPr>
        <b/>
        <sz val="16"/>
        <rFont val="Arial"/>
        <family val="2"/>
      </rPr>
      <t>---&gt;</t>
    </r>
  </si>
  <si>
    <t>unkastrierte Erwachsene bitte 15-20% mehr füttern!!</t>
  </si>
  <si>
    <t xml:space="preserve">     ↓</t>
  </si>
  <si>
    <r>
      <t xml:space="preserve">euer Einkaufs- preis pro 100g Futter
</t>
    </r>
    <r>
      <rPr>
        <sz val="10"/>
        <color indexed="50"/>
        <rFont val="Arial"/>
        <family val="2"/>
      </rPr>
      <t>bitte  aktualisieren</t>
    </r>
  </si>
  <si>
    <r>
      <t xml:space="preserve">berechnete Futtermenge
</t>
    </r>
    <r>
      <rPr>
        <sz val="10"/>
        <color indexed="50"/>
        <rFont val="Arial"/>
        <family val="2"/>
      </rPr>
      <t>grüne Einfärbung=</t>
    </r>
    <r>
      <rPr>
        <sz val="10"/>
        <rFont val="Arial"/>
        <family val="2"/>
      </rPr>
      <t xml:space="preserve"> </t>
    </r>
    <r>
      <rPr>
        <sz val="10"/>
        <color indexed="50"/>
        <rFont val="Arial"/>
        <family val="2"/>
      </rPr>
      <t>je kleiner die futterration desto besser ist das futter !!</t>
    </r>
  </si>
  <si>
    <t>Whiskas zum kauen</t>
  </si>
  <si>
    <t>Catz finefood Lachs-geflügel</t>
  </si>
  <si>
    <t>0,13/0,11</t>
  </si>
  <si>
    <t>0,25/0,20</t>
  </si>
  <si>
    <t>ABD3E</t>
  </si>
  <si>
    <t>Schesir CatThunfisch-Rind-Reis</t>
  </si>
  <si>
    <t>Whiskas herzhaft und lecker rind-herz</t>
  </si>
  <si>
    <t>Miamor Pastete senior</t>
  </si>
  <si>
    <t>D3E</t>
  </si>
  <si>
    <t>Schmusy Nature</t>
  </si>
  <si>
    <t>Royal Canin sensible 33</t>
  </si>
  <si>
    <t>1,13/0,91</t>
  </si>
  <si>
    <t>ABCD3E</t>
  </si>
  <si>
    <t>Happy Cat supreme Adult</t>
  </si>
  <si>
    <t>sanabelle no grain</t>
  </si>
  <si>
    <t>1,2/1,1</t>
  </si>
  <si>
    <t>Sanabelle senior</t>
  </si>
  <si>
    <t>0,26/0,23</t>
  </si>
  <si>
    <t>Grau Schlemmertöpfchen Huhn/Putenherz</t>
  </si>
  <si>
    <t>MACs Huhn cranberry</t>
  </si>
  <si>
    <t>terra faelis Huhn</t>
  </si>
  <si>
    <t>0,2/0,19</t>
  </si>
  <si>
    <t>Biopur  Huhn reis Adult</t>
  </si>
  <si>
    <t>=======================================================================================================================================</t>
  </si>
  <si>
    <t>gelb sind gute werte (meine meinung) bitte auf hochwertiges Fleisch achten , keine Nebenerzeugnisse!</t>
  </si>
  <si>
    <t>NfE = % Kohle- hydrate in der Trocken- masse</t>
  </si>
  <si>
    <r>
      <t xml:space="preserve">ist Kohlehydrate-gehalt &lt;15% ? 
</t>
    </r>
    <r>
      <rPr>
        <sz val="10"/>
        <rFont val="Arial"/>
        <family val="2"/>
      </rPr>
      <t>,da Katzen Getreide wegen der kurzen Verdauungswege schlechter ausnutzen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ist die Energie die darin gebunden ist, grösstenteils verloren</t>
    </r>
  </si>
  <si>
    <t>granata geflügel adult</t>
  </si>
  <si>
    <t>"1,1/1</t>
  </si>
  <si>
    <t>0,30/0,25</t>
  </si>
  <si>
    <t>MjamMjam Huhn</t>
  </si>
  <si>
    <t>Animoda carny Kitten</t>
  </si>
  <si>
    <t>0,35/0,29</t>
  </si>
  <si>
    <t>real nature wilderness KITTEN huhn lachs</t>
  </si>
  <si>
    <t>Kitten bzw Seniorfutter</t>
  </si>
  <si>
    <t>x</t>
  </si>
  <si>
    <t>Real nature Adult Huhn rind pute</t>
  </si>
  <si>
    <t>Royal Canin kitten sterilized</t>
  </si>
  <si>
    <t>"1/0,95</t>
  </si>
  <si>
    <t>"0,33/0,21</t>
  </si>
  <si>
    <t>real-nature Huhn/Rind</t>
  </si>
  <si>
    <t>Premiere Geflügel Kitten</t>
  </si>
  <si>
    <t>"1,4/1</t>
  </si>
  <si>
    <t>Premiere Rind Putenherz Kitten</t>
  </si>
  <si>
    <t>purina  One sensitive truthahn</t>
  </si>
  <si>
    <t>bei Kitten haben die meisten futter zuwenig Protein und Fett</t>
  </si>
  <si>
    <t>produktionsbedingt enthält TroFu meist Getreide Reis etc deshalb ist der Kohlehydratanteil immer schlecht!</t>
  </si>
  <si>
    <t>dm dein bestes BIO huhn/Pute</t>
  </si>
  <si>
    <t>0,31/0,25</t>
  </si>
  <si>
    <t>D3</t>
  </si>
  <si>
    <t>Select Gold senior</t>
  </si>
  <si>
    <t>animonda Carny Senior</t>
  </si>
  <si>
    <t>0,26/0,22</t>
  </si>
  <si>
    <t xml:space="preserve">E </t>
  </si>
  <si>
    <t>Fit und Fun senior pate</t>
  </si>
  <si>
    <t>dm Senior Huhn</t>
  </si>
  <si>
    <t>0,29/0,24</t>
  </si>
  <si>
    <t>josera ente huhn Pate</t>
  </si>
  <si>
    <t>almo nature HFC</t>
  </si>
  <si>
    <t>0,9/0,8</t>
  </si>
  <si>
    <t>B7E</t>
  </si>
  <si>
    <t>Happy Cat minkas Duo Huhn Lamm</t>
  </si>
  <si>
    <t>select gold pure adult huhn</t>
  </si>
  <si>
    <t>BxCD3E</t>
  </si>
  <si>
    <t>Miamor v Feine Beute 7sorten</t>
  </si>
  <si>
    <t>Mera all cats adult</t>
  </si>
  <si>
    <t>1,5/1,15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</si>
</sst>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Calibri"/>
      <family val="2"/>
    </font>
    <font>
      <sz val="10"/>
      <color indexed="5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165" fontId="0" fillId="0" borderId="0" xfId="0" applyNumberFormat="1"/>
    <xf numFmtId="1" fontId="2" fillId="0" borderId="0" xfId="0" applyNumberFormat="1" applyFont="1" applyAlignment="1">
      <alignment wrapText="1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/>
    <xf numFmtId="2" fontId="0" fillId="0" borderId="0" xfId="0" applyNumberFormat="1"/>
    <xf numFmtId="1" fontId="0" fillId="0" borderId="2" xfId="0" applyNumberFormat="1" applyBorder="1"/>
    <xf numFmtId="164" fontId="0" fillId="0" borderId="2" xfId="0" applyNumberFormat="1" applyBorder="1" applyAlignment="1">
      <alignment horizontal="right"/>
    </xf>
    <xf numFmtId="1" fontId="0" fillId="2" borderId="0" xfId="0" applyNumberFormat="1" applyFill="1"/>
    <xf numFmtId="164" fontId="0" fillId="2" borderId="0" xfId="0" applyNumberFormat="1" applyFill="1"/>
    <xf numFmtId="1" fontId="2" fillId="2" borderId="0" xfId="0" applyNumberFormat="1" applyFont="1" applyFill="1"/>
    <xf numFmtId="164" fontId="0" fillId="0" borderId="3" xfId="0" applyNumberFormat="1" applyBorder="1" applyAlignment="1">
      <alignment horizontal="right"/>
    </xf>
    <xf numFmtId="164" fontId="0" fillId="0" borderId="3" xfId="0" applyNumberFormat="1" applyBorder="1"/>
    <xf numFmtId="1" fontId="0" fillId="0" borderId="3" xfId="0" applyNumberFormat="1" applyBorder="1"/>
    <xf numFmtId="0" fontId="2" fillId="2" borderId="0" xfId="0" applyFont="1" applyFill="1" applyAlignment="1">
      <alignment wrapText="1"/>
    </xf>
    <xf numFmtId="1" fontId="0" fillId="0" borderId="4" xfId="0" applyNumberFormat="1" applyBorder="1"/>
    <xf numFmtId="1" fontId="0" fillId="0" borderId="5" xfId="0" applyNumberFormat="1" applyBorder="1"/>
    <xf numFmtId="166" fontId="0" fillId="2" borderId="0" xfId="0" applyNumberFormat="1" applyFill="1"/>
    <xf numFmtId="164" fontId="0" fillId="0" borderId="6" xfId="0" applyNumberFormat="1" applyBorder="1" applyAlignment="1">
      <alignment horizontal="right"/>
    </xf>
    <xf numFmtId="1" fontId="0" fillId="0" borderId="6" xfId="0" applyNumberFormat="1" applyBorder="1"/>
    <xf numFmtId="1" fontId="0" fillId="0" borderId="7" xfId="0" applyNumberFormat="1" applyBorder="1"/>
    <xf numFmtId="0" fontId="2" fillId="2" borderId="0" xfId="0" applyFont="1" applyFill="1"/>
    <xf numFmtId="1" fontId="0" fillId="0" borderId="0" xfId="0" applyNumberFormat="1" applyAlignment="1">
      <alignment horizontal="center" vertical="center" wrapText="1"/>
    </xf>
    <xf numFmtId="1" fontId="1" fillId="0" borderId="8" xfId="0" applyNumberFormat="1" applyFont="1" applyBorder="1"/>
    <xf numFmtId="164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wrapText="1"/>
    </xf>
    <xf numFmtId="1" fontId="1" fillId="0" borderId="9" xfId="0" applyNumberFormat="1" applyFont="1" applyBorder="1" applyAlignment="1">
      <alignment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wrapText="1"/>
    </xf>
    <xf numFmtId="0" fontId="3" fillId="0" borderId="10" xfId="0" applyFon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0" fillId="0" borderId="11" xfId="0" applyNumberFormat="1" applyBorder="1" applyProtection="1">
      <protection locked="0"/>
    </xf>
    <xf numFmtId="1" fontId="3" fillId="0" borderId="12" xfId="0" applyNumberFormat="1" applyFont="1" applyBorder="1" applyProtection="1">
      <protection locked="0"/>
    </xf>
    <xf numFmtId="1" fontId="0" fillId="0" borderId="13" xfId="0" applyNumberFormat="1" applyBorder="1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164" fontId="7" fillId="0" borderId="11" xfId="0" applyNumberFormat="1" applyFont="1" applyBorder="1" applyAlignment="1" applyProtection="1">
      <alignment vertical="top" wrapText="1"/>
      <protection locked="0"/>
    </xf>
    <xf numFmtId="1" fontId="1" fillId="0" borderId="14" xfId="0" applyNumberFormat="1" applyFont="1" applyBorder="1" applyAlignment="1" applyProtection="1">
      <alignment vertical="top" wrapText="1"/>
      <protection locked="0"/>
    </xf>
    <xf numFmtId="1" fontId="1" fillId="0" borderId="0" xfId="0" applyNumberFormat="1" applyFont="1" applyAlignment="1" applyProtection="1">
      <alignment vertical="top" wrapText="1"/>
      <protection locked="0"/>
    </xf>
    <xf numFmtId="165" fontId="1" fillId="0" borderId="0" xfId="0" applyNumberFormat="1" applyFont="1" applyAlignment="1" applyProtection="1">
      <alignment vertical="top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" fontId="1" fillId="0" borderId="15" xfId="0" applyNumberFormat="1" applyFont="1" applyBorder="1" applyAlignment="1">
      <alignment vertical="top" wrapText="1"/>
    </xf>
    <xf numFmtId="164" fontId="2" fillId="0" borderId="16" xfId="0" applyNumberFormat="1" applyFont="1" applyBorder="1" applyAlignment="1" applyProtection="1">
      <alignment vertical="top" wrapText="1"/>
      <protection locked="0"/>
    </xf>
    <xf numFmtId="1" fontId="1" fillId="0" borderId="15" xfId="0" applyNumberFormat="1" applyFont="1" applyBorder="1" applyAlignment="1" applyProtection="1">
      <alignment vertical="top" wrapText="1"/>
      <protection locked="0"/>
    </xf>
    <xf numFmtId="164" fontId="0" fillId="5" borderId="2" xfId="0" applyNumberFormat="1" applyFill="1" applyBorder="1" applyAlignment="1" applyProtection="1">
      <alignment horizontal="left" vertical="center" wrapText="1"/>
      <protection locked="0"/>
    </xf>
    <xf numFmtId="1" fontId="3" fillId="0" borderId="11" xfId="0" applyNumberFormat="1" applyFont="1" applyBorder="1" applyAlignment="1" applyProtection="1">
      <alignment horizontal="right"/>
      <protection locked="0"/>
    </xf>
    <xf numFmtId="1" fontId="1" fillId="0" borderId="0" xfId="0" applyNumberFormat="1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164" fontId="0" fillId="0" borderId="0" xfId="0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1" fontId="2" fillId="0" borderId="0" xfId="0" applyNumberFormat="1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164" fontId="2" fillId="0" borderId="0" xfId="0" applyNumberFormat="1" applyFont="1" applyAlignment="1" applyProtection="1">
      <alignment horizontal="right" wrapText="1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6" fillId="0" borderId="17" xfId="0" quotePrefix="1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0" fillId="4" borderId="19" xfId="0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0" fontId="2" fillId="6" borderId="19" xfId="0" applyFont="1" applyFill="1" applyBorder="1" applyAlignment="1" applyProtection="1">
      <alignment wrapText="1"/>
      <protection locked="0"/>
    </xf>
    <xf numFmtId="164" fontId="0" fillId="0" borderId="19" xfId="0" applyNumberFormat="1" applyBorder="1" applyProtection="1">
      <protection locked="0"/>
    </xf>
    <xf numFmtId="164" fontId="1" fillId="0" borderId="19" xfId="0" applyNumberFormat="1" applyFont="1" applyBorder="1" applyProtection="1">
      <protection locked="0"/>
    </xf>
    <xf numFmtId="164" fontId="2" fillId="6" borderId="19" xfId="0" applyNumberFormat="1" applyFont="1" applyFill="1" applyBorder="1" applyProtection="1">
      <protection locked="0"/>
    </xf>
    <xf numFmtId="164" fontId="1" fillId="0" borderId="16" xfId="0" applyNumberFormat="1" applyFont="1" applyBorder="1" applyAlignment="1" applyProtection="1">
      <alignment horizontal="left" vertical="top" wrapText="1"/>
      <protection locked="0"/>
    </xf>
    <xf numFmtId="0" fontId="0" fillId="7" borderId="0" xfId="0" applyFill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 vertical="top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" fontId="1" fillId="0" borderId="20" xfId="0" applyNumberFormat="1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49" fontId="1" fillId="0" borderId="23" xfId="0" applyNumberFormat="1" applyFont="1" applyBorder="1" applyAlignment="1" applyProtection="1">
      <alignment horizontal="right" wrapText="1"/>
      <protection locked="0"/>
    </xf>
    <xf numFmtId="0" fontId="0" fillId="0" borderId="23" xfId="0" applyBorder="1" applyAlignment="1">
      <alignment horizontal="right"/>
    </xf>
  </cellXfs>
  <cellStyles count="1">
    <cellStyle name="Standard" xfId="0" builtinId="0"/>
  </cellStyles>
  <dxfs count="2">
    <dxf>
      <font>
        <color rgb="FF9C0006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605883639545057"/>
          <c:y val="2.8252405949256341E-2"/>
          <c:w val="0.5756426071741032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Grunddaten!$G$8</c:f>
              <c:strCache>
                <c:ptCount val="1"/>
                <c:pt idx="0">
                  <c:v>Erwachsen normalgewichtig</c:v>
                </c:pt>
              </c:strCache>
            </c:strRef>
          </c:tx>
          <c:trendline>
            <c:trendlineType val="power"/>
            <c:dispRSqr val="0"/>
            <c:dispEq val="0"/>
          </c:trendline>
          <c:xVal>
            <c:numRef>
              <c:f>Grunddaten!$I$3:$S$3</c:f>
              <c:numCache>
                <c:formatCode>0.0</c:formatCode>
                <c:ptCount val="11"/>
                <c:pt idx="0" formatCode="0.00">
                  <c:v>2.25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4.53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xVal>
          <c:yVal>
            <c:numRef>
              <c:f>Grunddaten!$I$8:$S$8</c:f>
              <c:numCache>
                <c:formatCode>0</c:formatCode>
                <c:ptCount val="11"/>
                <c:pt idx="1">
                  <c:v>70</c:v>
                </c:pt>
                <c:pt idx="2">
                  <c:v>67</c:v>
                </c:pt>
                <c:pt idx="3">
                  <c:v>64</c:v>
                </c:pt>
                <c:pt idx="4">
                  <c:v>62</c:v>
                </c:pt>
                <c:pt idx="5">
                  <c:v>59</c:v>
                </c:pt>
                <c:pt idx="6">
                  <c:v>58</c:v>
                </c:pt>
                <c:pt idx="7">
                  <c:v>56</c:v>
                </c:pt>
                <c:pt idx="8">
                  <c:v>53</c:v>
                </c:pt>
                <c:pt idx="9">
                  <c:v>51</c:v>
                </c:pt>
                <c:pt idx="10">
                  <c:v>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AA-4F17-BB58-DC2989E25936}"/>
            </c:ext>
          </c:extLst>
        </c:ser>
        <c:ser>
          <c:idx val="1"/>
          <c:order val="1"/>
          <c:tx>
            <c:strRef>
              <c:f>Grunddaten!$G$10</c:f>
              <c:strCache>
                <c:ptCount val="1"/>
                <c:pt idx="0">
                  <c:v>Erwachsen übergewichtig</c:v>
                </c:pt>
              </c:strCache>
            </c:strRef>
          </c:tx>
          <c:trendline>
            <c:trendlineType val="power"/>
            <c:dispRSqr val="0"/>
            <c:dispEq val="0"/>
          </c:trendline>
          <c:xVal>
            <c:numRef>
              <c:f>Grunddaten!$I$3:$S$3</c:f>
              <c:numCache>
                <c:formatCode>0.0</c:formatCode>
                <c:ptCount val="11"/>
                <c:pt idx="0" formatCode="0.00">
                  <c:v>2.25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4.53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xVal>
          <c:yVal>
            <c:numRef>
              <c:f>Grunddaten!$I$10:$S$10</c:f>
              <c:numCache>
                <c:formatCode>0</c:formatCode>
                <c:ptCount val="11"/>
                <c:pt idx="1">
                  <c:v>68</c:v>
                </c:pt>
                <c:pt idx="2">
                  <c:v>61</c:v>
                </c:pt>
                <c:pt idx="3">
                  <c:v>56</c:v>
                </c:pt>
                <c:pt idx="4">
                  <c:v>53</c:v>
                </c:pt>
                <c:pt idx="5">
                  <c:v>50</c:v>
                </c:pt>
                <c:pt idx="6">
                  <c:v>46</c:v>
                </c:pt>
                <c:pt idx="7">
                  <c:v>44</c:v>
                </c:pt>
                <c:pt idx="8">
                  <c:v>41</c:v>
                </c:pt>
                <c:pt idx="9">
                  <c:v>38</c:v>
                </c:pt>
                <c:pt idx="10">
                  <c:v>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BAA-4F17-BB58-DC2989E25936}"/>
            </c:ext>
          </c:extLst>
        </c:ser>
        <c:ser>
          <c:idx val="2"/>
          <c:order val="2"/>
          <c:tx>
            <c:strRef>
              <c:f>Grunddaten!$G$11</c:f>
              <c:strCache>
                <c:ptCount val="1"/>
                <c:pt idx="0">
                  <c:v>Katzenmutter (säugend)</c:v>
                </c:pt>
              </c:strCache>
            </c:strRef>
          </c:tx>
          <c:trendline>
            <c:trendlineType val="poly"/>
            <c:order val="3"/>
            <c:dispRSqr val="0"/>
            <c:dispEq val="0"/>
          </c:trendline>
          <c:xVal>
            <c:numRef>
              <c:f>Grunddaten!$I$3:$S$3</c:f>
              <c:numCache>
                <c:formatCode>0.0</c:formatCode>
                <c:ptCount val="11"/>
                <c:pt idx="0" formatCode="0.00">
                  <c:v>2.25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4.53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xVal>
          <c:yVal>
            <c:numRef>
              <c:f>Grunddaten!$I$11:$S$11</c:f>
              <c:numCache>
                <c:formatCode>0</c:formatCode>
                <c:ptCount val="11"/>
                <c:pt idx="1">
                  <c:v>143</c:v>
                </c:pt>
                <c:pt idx="2">
                  <c:v>140</c:v>
                </c:pt>
                <c:pt idx="3">
                  <c:v>138</c:v>
                </c:pt>
                <c:pt idx="4">
                  <c:v>134</c:v>
                </c:pt>
                <c:pt idx="5">
                  <c:v>132</c:v>
                </c:pt>
                <c:pt idx="6">
                  <c:v>130</c:v>
                </c:pt>
                <c:pt idx="7">
                  <c:v>128</c:v>
                </c:pt>
                <c:pt idx="8">
                  <c:v>125</c:v>
                </c:pt>
                <c:pt idx="9">
                  <c:v>123</c:v>
                </c:pt>
                <c:pt idx="10">
                  <c:v>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BAA-4F17-BB58-DC2989E25936}"/>
            </c:ext>
          </c:extLst>
        </c:ser>
        <c:ser>
          <c:idx val="3"/>
          <c:order val="3"/>
          <c:tx>
            <c:strRef>
              <c:f>Grunddaten!$G$9</c:f>
              <c:strCache>
                <c:ptCount val="1"/>
                <c:pt idx="0">
                  <c:v>Erwachsen,
älter als 10 Jahre</c:v>
                </c:pt>
              </c:strCache>
            </c:strRef>
          </c:tx>
          <c:trendline>
            <c:spPr>
              <a:ln w="25400">
                <a:solidFill>
                  <a:srgbClr val="7030A0"/>
                </a:solidFill>
              </a:ln>
            </c:spPr>
            <c:trendlineType val="power"/>
            <c:dispRSqr val="0"/>
            <c:dispEq val="0"/>
          </c:trendline>
          <c:xVal>
            <c:numRef>
              <c:f>Grunddaten!$I$3:$S$3</c:f>
              <c:numCache>
                <c:formatCode>0.0</c:formatCode>
                <c:ptCount val="11"/>
                <c:pt idx="0" formatCode="0.00">
                  <c:v>2.25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4.53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xVal>
          <c:yVal>
            <c:numRef>
              <c:f>Grunddaten!$I$9:$S$9</c:f>
              <c:numCache>
                <c:formatCode>0</c:formatCode>
                <c:ptCount val="11"/>
                <c:pt idx="1">
                  <c:v>61.6</c:v>
                </c:pt>
                <c:pt idx="2">
                  <c:v>58.96</c:v>
                </c:pt>
                <c:pt idx="3">
                  <c:v>56.32</c:v>
                </c:pt>
                <c:pt idx="4">
                  <c:v>54.56</c:v>
                </c:pt>
                <c:pt idx="5">
                  <c:v>53</c:v>
                </c:pt>
                <c:pt idx="6">
                  <c:v>51.04</c:v>
                </c:pt>
                <c:pt idx="7">
                  <c:v>49.28</c:v>
                </c:pt>
                <c:pt idx="8">
                  <c:v>46.64</c:v>
                </c:pt>
                <c:pt idx="9">
                  <c:v>44.88</c:v>
                </c:pt>
                <c:pt idx="10" formatCode="0.0">
                  <c:v>43.12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BAA-4F17-BB58-DC2989E25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39800"/>
        <c:axId val="1"/>
      </c:scatterChart>
      <c:valAx>
        <c:axId val="49603980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Körpergewicht kg</a:t>
                </a:r>
              </a:p>
            </c:rich>
          </c:tx>
          <c:overlay val="0"/>
        </c:title>
        <c:numFmt formatCode="0.00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Energieverbrauch </a:t>
                </a:r>
                <a:r>
                  <a:rPr lang="en-US"/>
                  <a:t>kcal</a:t>
                </a:r>
              </a:p>
            </c:rich>
          </c:tx>
          <c:layout>
            <c:manualLayout>
              <c:xMode val="edge"/>
              <c:yMode val="edge"/>
              <c:x val="0.25647072509288138"/>
              <c:y val="0.27741457732148123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496039800"/>
        <c:crosses val="autoZero"/>
        <c:crossBetween val="midCat"/>
      </c:valAx>
    </c:plotArea>
    <c:legend>
      <c:legendPos val="l"/>
      <c:layout>
        <c:manualLayout>
          <c:xMode val="edge"/>
          <c:yMode val="edge"/>
          <c:wMode val="edge"/>
          <c:hMode val="edge"/>
          <c:x val="2.2160664819944598E-2"/>
          <c:y val="0.61132388838135565"/>
          <c:w val="0.28854218014991895"/>
          <c:h val="0.93870661194974936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714375</xdr:colOff>
      <xdr:row>1</xdr:row>
      <xdr:rowOff>9525</xdr:rowOff>
    </xdr:from>
    <xdr:to>
      <xdr:col>42</xdr:col>
      <xdr:colOff>257175</xdr:colOff>
      <xdr:row>14</xdr:row>
      <xdr:rowOff>123825</xdr:rowOff>
    </xdr:to>
    <xdr:graphicFrame macro="">
      <xdr:nvGraphicFramePr>
        <xdr:cNvPr id="1352" name="Diagramm 1">
          <a:extLst>
            <a:ext uri="{FF2B5EF4-FFF2-40B4-BE49-F238E27FC236}">
              <a16:creationId xmlns:a16="http://schemas.microsoft.com/office/drawing/2014/main" id="{7B9A016B-4807-C4D1-68FF-6865BCB41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95250</xdr:colOff>
      <xdr:row>11</xdr:row>
      <xdr:rowOff>38100</xdr:rowOff>
    </xdr:from>
    <xdr:to>
      <xdr:col>20</xdr:col>
      <xdr:colOff>476250</xdr:colOff>
      <xdr:row>43</xdr:row>
      <xdr:rowOff>123825</xdr:rowOff>
    </xdr:to>
    <xdr:pic>
      <xdr:nvPicPr>
        <xdr:cNvPr id="1353" name="Grafik 1">
          <a:extLst>
            <a:ext uri="{FF2B5EF4-FFF2-40B4-BE49-F238E27FC236}">
              <a16:creationId xmlns:a16="http://schemas.microsoft.com/office/drawing/2014/main" id="{AF407F0A-3CF9-3C43-ADF5-1E3D66D2C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619625"/>
          <a:ext cx="7067550" cy="542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workbookViewId="0">
      <selection activeCell="B4" sqref="B4"/>
    </sheetView>
  </sheetViews>
  <sheetFormatPr baseColWidth="10" defaultColWidth="11" defaultRowHeight="12.75" x14ac:dyDescent="0.2"/>
  <cols>
    <col min="1" max="1" width="46.5703125" customWidth="1"/>
    <col min="2" max="2" width="15.140625" customWidth="1"/>
    <col min="3" max="3" width="7.140625" customWidth="1"/>
    <col min="4" max="4" width="7.42578125" style="2" customWidth="1"/>
    <col min="5" max="5" width="8.28515625" style="1" customWidth="1"/>
    <col min="6" max="6" width="3.42578125" style="1" customWidth="1"/>
    <col min="7" max="7" width="18.28515625" style="1" customWidth="1"/>
    <col min="8" max="8" width="7.140625" style="1" customWidth="1"/>
    <col min="9" max="10" width="5.42578125" style="1" customWidth="1"/>
    <col min="11" max="12" width="5.140625" style="1" customWidth="1"/>
    <col min="13" max="13" width="5.42578125" style="1" customWidth="1"/>
    <col min="14" max="14" width="5.140625" style="1" customWidth="1"/>
    <col min="15" max="15" width="5.140625" style="2" customWidth="1"/>
    <col min="16" max="16" width="5.7109375" style="2" customWidth="1"/>
    <col min="17" max="17" width="5.140625" style="2" customWidth="1"/>
    <col min="18" max="18" width="4.85546875" style="2" customWidth="1"/>
    <col min="19" max="19" width="5.42578125" style="2" customWidth="1"/>
    <col min="20" max="20" width="13.42578125" style="4" customWidth="1"/>
    <col min="21" max="21" width="8.85546875" style="4" customWidth="1"/>
    <col min="22" max="22" width="10.5703125" customWidth="1"/>
    <col min="23" max="23" width="9.7109375" customWidth="1"/>
    <col min="24" max="24" width="20.5703125" customWidth="1"/>
  </cols>
  <sheetData>
    <row r="1" spans="1:22" ht="13.5" thickBot="1" x14ac:dyDescent="0.25">
      <c r="B1" s="3" t="s">
        <v>37</v>
      </c>
      <c r="S1"/>
    </row>
    <row r="2" spans="1:22" ht="33.75" customHeight="1" thickTop="1" thickBot="1" x14ac:dyDescent="0.25">
      <c r="A2" s="7" t="s">
        <v>22</v>
      </c>
      <c r="B2" s="38">
        <v>4</v>
      </c>
      <c r="C2" s="1" t="s">
        <v>23</v>
      </c>
      <c r="G2" s="93" t="s">
        <v>44</v>
      </c>
      <c r="H2" s="94"/>
      <c r="I2" s="94"/>
      <c r="J2" s="94"/>
      <c r="K2" s="94"/>
      <c r="L2" s="94"/>
      <c r="M2" s="94"/>
      <c r="N2" s="94"/>
      <c r="O2" s="95"/>
      <c r="P2" s="95"/>
      <c r="Q2" s="95"/>
      <c r="R2" s="95"/>
      <c r="S2" s="96"/>
      <c r="T2" s="5"/>
      <c r="V2" s="1"/>
    </row>
    <row r="3" spans="1:22" ht="36.75" customHeight="1" thickTop="1" thickBot="1" x14ac:dyDescent="0.25">
      <c r="A3" s="8" t="s">
        <v>45</v>
      </c>
      <c r="B3" s="38">
        <v>64</v>
      </c>
      <c r="C3" s="1" t="s">
        <v>21</v>
      </c>
      <c r="G3" s="30" t="s">
        <v>64</v>
      </c>
      <c r="H3" s="31" t="s">
        <v>66</v>
      </c>
      <c r="I3" s="32">
        <v>2.25</v>
      </c>
      <c r="J3" s="31">
        <v>3</v>
      </c>
      <c r="K3" s="31">
        <v>3.5</v>
      </c>
      <c r="L3" s="31">
        <v>4</v>
      </c>
      <c r="M3" s="33">
        <v>4.53</v>
      </c>
      <c r="N3" s="33">
        <v>5</v>
      </c>
      <c r="O3" s="33">
        <v>5.5</v>
      </c>
      <c r="P3" s="33">
        <v>6</v>
      </c>
      <c r="Q3" s="33">
        <v>7</v>
      </c>
      <c r="R3" s="34">
        <v>8</v>
      </c>
      <c r="S3" s="35">
        <v>9</v>
      </c>
      <c r="T3" s="2"/>
    </row>
    <row r="4" spans="1:22" ht="46.5" customHeight="1" thickTop="1" thickBot="1" x14ac:dyDescent="0.25">
      <c r="A4" s="10" t="s">
        <v>75</v>
      </c>
      <c r="B4" s="38">
        <v>0</v>
      </c>
      <c r="G4" s="36" t="s">
        <v>67</v>
      </c>
      <c r="H4" s="13">
        <v>183</v>
      </c>
      <c r="I4" s="13"/>
      <c r="J4" s="13"/>
      <c r="K4" s="13"/>
      <c r="L4" s="13"/>
      <c r="M4" s="14"/>
      <c r="N4" s="14"/>
      <c r="O4" s="14"/>
      <c r="P4" s="14"/>
      <c r="Q4" s="14"/>
      <c r="R4" s="25"/>
      <c r="S4" s="18"/>
      <c r="T4" s="2"/>
    </row>
    <row r="5" spans="1:22" ht="67.5" customHeight="1" thickTop="1" x14ac:dyDescent="0.2">
      <c r="A5" s="93">
        <v>1</v>
      </c>
      <c r="B5" s="94"/>
      <c r="C5" s="94"/>
      <c r="D5" s="29"/>
      <c r="G5" s="36" t="s">
        <v>68</v>
      </c>
      <c r="H5" s="13">
        <v>139</v>
      </c>
      <c r="I5" s="13"/>
      <c r="J5" s="13"/>
      <c r="K5" s="13"/>
      <c r="L5" s="13"/>
      <c r="M5" s="14"/>
      <c r="N5" s="14"/>
      <c r="O5" s="14"/>
      <c r="P5" s="14"/>
      <c r="Q5" s="14"/>
      <c r="R5" s="25"/>
      <c r="S5" s="18"/>
      <c r="T5" s="2"/>
    </row>
    <row r="6" spans="1:22" ht="24.75" customHeight="1" x14ac:dyDescent="0.2">
      <c r="A6" s="6" t="s">
        <v>55</v>
      </c>
      <c r="B6" s="39">
        <f>IF(B4=0,B2*1000*0.477/100,IF(B4=1,B2*1000*1.23/100,IF(B4=2,B2*1000*1/100,"bitte Feld B4 ueberpruefen")))</f>
        <v>19.079999999999998</v>
      </c>
      <c r="C6" s="6" t="s">
        <v>24</v>
      </c>
      <c r="D6" s="15"/>
      <c r="E6" s="16"/>
      <c r="G6" s="36" t="s">
        <v>69</v>
      </c>
      <c r="H6" s="13"/>
      <c r="I6" s="13">
        <v>100</v>
      </c>
      <c r="J6" s="13">
        <v>100</v>
      </c>
      <c r="K6" s="13"/>
      <c r="L6" s="13"/>
      <c r="M6" s="13"/>
      <c r="N6" s="13"/>
      <c r="O6" s="13"/>
      <c r="P6" s="13"/>
      <c r="Q6" s="13" t="s">
        <v>43</v>
      </c>
      <c r="R6" s="26"/>
      <c r="S6" s="19"/>
      <c r="T6" s="2"/>
    </row>
    <row r="7" spans="1:22" ht="24.75" customHeight="1" x14ac:dyDescent="0.2">
      <c r="A7" s="6" t="s">
        <v>56</v>
      </c>
      <c r="B7" s="39">
        <f>IF(B4=0,B2*1000*0.15/100,IF(B4=1,B2*1000*0.5/100,IF(B4=2,B2*1000*0.31/100,"bitte Feld B4 ueberpruefen!")))</f>
        <v>6</v>
      </c>
      <c r="C7" s="6" t="s">
        <v>24</v>
      </c>
      <c r="D7" s="15"/>
      <c r="E7" s="16"/>
      <c r="G7" s="36" t="s">
        <v>65</v>
      </c>
      <c r="H7" s="13"/>
      <c r="I7" s="13"/>
      <c r="J7" s="13">
        <v>80</v>
      </c>
      <c r="K7" s="13">
        <v>80</v>
      </c>
      <c r="L7" s="13">
        <v>80</v>
      </c>
      <c r="M7" s="13"/>
      <c r="N7" s="13"/>
      <c r="O7" s="13"/>
      <c r="P7" s="13"/>
      <c r="Q7" s="13"/>
      <c r="R7" s="26"/>
      <c r="S7" s="19"/>
      <c r="T7" s="2"/>
    </row>
    <row r="8" spans="1:22" ht="30.75" customHeight="1" x14ac:dyDescent="0.2">
      <c r="G8" s="36" t="s">
        <v>58</v>
      </c>
      <c r="H8" s="13"/>
      <c r="I8" s="13"/>
      <c r="J8" s="13">
        <v>70</v>
      </c>
      <c r="K8" s="13">
        <v>67</v>
      </c>
      <c r="L8" s="13">
        <v>64</v>
      </c>
      <c r="M8" s="13">
        <v>62</v>
      </c>
      <c r="N8" s="13">
        <v>59</v>
      </c>
      <c r="O8" s="13">
        <v>58</v>
      </c>
      <c r="P8" s="13">
        <v>56</v>
      </c>
      <c r="Q8" s="13">
        <v>53</v>
      </c>
      <c r="R8" s="26">
        <v>51</v>
      </c>
      <c r="S8" s="20">
        <v>49</v>
      </c>
      <c r="T8" s="2"/>
    </row>
    <row r="9" spans="1:22" ht="23.25" customHeight="1" x14ac:dyDescent="0.2">
      <c r="A9" s="6"/>
      <c r="B9" s="6"/>
      <c r="C9" s="17" t="s">
        <v>41</v>
      </c>
      <c r="D9" s="15"/>
      <c r="E9" s="16"/>
      <c r="G9" s="36" t="s">
        <v>71</v>
      </c>
      <c r="H9" s="13"/>
      <c r="I9" s="13"/>
      <c r="J9" s="13">
        <f>J8*0.88</f>
        <v>61.6</v>
      </c>
      <c r="K9" s="13">
        <f t="shared" ref="K9:S9" si="0">K8*0.88</f>
        <v>58.96</v>
      </c>
      <c r="L9" s="13">
        <f t="shared" si="0"/>
        <v>56.32</v>
      </c>
      <c r="M9" s="13">
        <f t="shared" si="0"/>
        <v>54.56</v>
      </c>
      <c r="N9" s="13">
        <v>53</v>
      </c>
      <c r="O9" s="13">
        <f t="shared" si="0"/>
        <v>51.04</v>
      </c>
      <c r="P9" s="13">
        <f t="shared" si="0"/>
        <v>49.28</v>
      </c>
      <c r="Q9" s="13">
        <f t="shared" si="0"/>
        <v>46.64</v>
      </c>
      <c r="R9" s="13">
        <f t="shared" si="0"/>
        <v>44.88</v>
      </c>
      <c r="S9" s="18">
        <f t="shared" si="0"/>
        <v>43.12</v>
      </c>
      <c r="T9" s="2"/>
    </row>
    <row r="10" spans="1:22" ht="28.5" customHeight="1" x14ac:dyDescent="0.2">
      <c r="A10" s="6" t="s">
        <v>53</v>
      </c>
      <c r="B10" s="21">
        <f>IF(B4=1,B3*B2*1.5,IF(B4=2,B3*B2*2,B3*B2*0.9))</f>
        <v>230.4</v>
      </c>
      <c r="C10" s="6" t="s">
        <v>60</v>
      </c>
      <c r="D10" s="21">
        <f>B10*4.19</f>
        <v>965.37600000000009</v>
      </c>
      <c r="E10" s="16" t="s">
        <v>25</v>
      </c>
      <c r="G10" s="36" t="s">
        <v>59</v>
      </c>
      <c r="H10" s="13"/>
      <c r="I10" s="13"/>
      <c r="J10" s="13">
        <v>68</v>
      </c>
      <c r="K10" s="13">
        <v>61</v>
      </c>
      <c r="L10" s="13">
        <v>56</v>
      </c>
      <c r="M10" s="13">
        <v>53</v>
      </c>
      <c r="N10" s="13">
        <v>50</v>
      </c>
      <c r="O10" s="13">
        <v>46</v>
      </c>
      <c r="P10" s="13">
        <v>44</v>
      </c>
      <c r="Q10" s="13">
        <v>41</v>
      </c>
      <c r="R10" s="26">
        <v>38</v>
      </c>
      <c r="S10" s="20">
        <v>34</v>
      </c>
      <c r="T10" s="2"/>
    </row>
    <row r="11" spans="1:22" ht="30.75" customHeight="1" thickBot="1" x14ac:dyDescent="0.25">
      <c r="A11" s="28" t="s">
        <v>76</v>
      </c>
      <c r="B11" s="9">
        <v>1</v>
      </c>
      <c r="C11" s="6" t="s">
        <v>61</v>
      </c>
      <c r="D11" s="24">
        <v>4.1870000000000003</v>
      </c>
      <c r="E11" s="15" t="s">
        <v>25</v>
      </c>
      <c r="G11" s="37" t="s">
        <v>57</v>
      </c>
      <c r="H11" s="22"/>
      <c r="I11" s="22"/>
      <c r="J11" s="22">
        <v>143</v>
      </c>
      <c r="K11" s="22">
        <v>140</v>
      </c>
      <c r="L11" s="22">
        <v>138</v>
      </c>
      <c r="M11" s="22">
        <v>134</v>
      </c>
      <c r="N11" s="22">
        <v>132</v>
      </c>
      <c r="O11" s="22">
        <v>130</v>
      </c>
      <c r="P11" s="22">
        <v>128</v>
      </c>
      <c r="Q11" s="22">
        <v>125</v>
      </c>
      <c r="R11" s="27">
        <v>123</v>
      </c>
      <c r="S11" s="23">
        <v>121</v>
      </c>
      <c r="T11" s="12"/>
    </row>
    <row r="12" spans="1:22" ht="25.5" customHeight="1" thickTop="1" x14ac:dyDescent="0.2"/>
    <row r="51" spans="1:19" ht="15.75" customHeight="1" x14ac:dyDescent="0.2">
      <c r="D51"/>
      <c r="E51"/>
      <c r="F51"/>
      <c r="G51"/>
      <c r="H51"/>
      <c r="I51"/>
      <c r="J51"/>
      <c r="K51"/>
      <c r="L51"/>
      <c r="M51"/>
      <c r="N51"/>
      <c r="Q51" s="12"/>
      <c r="R51" s="12"/>
      <c r="S51" s="12"/>
    </row>
    <row r="52" spans="1:19" x14ac:dyDescent="0.2">
      <c r="D52"/>
      <c r="E52"/>
      <c r="F52"/>
      <c r="G52"/>
      <c r="H52"/>
      <c r="I52"/>
      <c r="J52"/>
      <c r="K52"/>
      <c r="L52"/>
      <c r="M52"/>
      <c r="N52"/>
    </row>
    <row r="53" spans="1:19" x14ac:dyDescent="0.2">
      <c r="D53"/>
      <c r="E53"/>
      <c r="F53"/>
      <c r="G53"/>
      <c r="H53"/>
      <c r="I53"/>
      <c r="J53"/>
      <c r="K53"/>
      <c r="L53"/>
      <c r="M53"/>
      <c r="N53"/>
      <c r="O53" s="12"/>
      <c r="P53" s="12"/>
    </row>
    <row r="54" spans="1:19" x14ac:dyDescent="0.2">
      <c r="D54"/>
      <c r="E54"/>
      <c r="F54"/>
      <c r="G54"/>
      <c r="H54"/>
      <c r="I54"/>
      <c r="J54"/>
      <c r="K54"/>
      <c r="L54"/>
      <c r="M54"/>
      <c r="N54"/>
    </row>
    <row r="55" spans="1:19" x14ac:dyDescent="0.2">
      <c r="D55"/>
      <c r="E55"/>
      <c r="F55"/>
      <c r="G55"/>
      <c r="H55"/>
      <c r="I55"/>
      <c r="J55"/>
      <c r="K55"/>
      <c r="L55"/>
      <c r="M55"/>
      <c r="N55"/>
    </row>
    <row r="56" spans="1:19" x14ac:dyDescent="0.2">
      <c r="D56"/>
      <c r="E56"/>
      <c r="F56"/>
      <c r="G56"/>
      <c r="H56"/>
      <c r="I56"/>
      <c r="J56"/>
      <c r="K56"/>
      <c r="L56"/>
      <c r="M56"/>
      <c r="N56"/>
    </row>
    <row r="57" spans="1:19" x14ac:dyDescent="0.2">
      <c r="D57"/>
      <c r="E57"/>
      <c r="F57"/>
      <c r="G57"/>
      <c r="H57"/>
      <c r="I57"/>
      <c r="J57"/>
      <c r="K57"/>
      <c r="L57"/>
      <c r="M57"/>
      <c r="N57"/>
    </row>
    <row r="58" spans="1:19" ht="17.25" customHeight="1" x14ac:dyDescent="0.2">
      <c r="D58"/>
      <c r="E58"/>
      <c r="F58"/>
      <c r="G58"/>
      <c r="H58"/>
      <c r="I58"/>
      <c r="J58"/>
      <c r="K58"/>
      <c r="L58"/>
      <c r="M58"/>
      <c r="N58"/>
    </row>
    <row r="59" spans="1:19" x14ac:dyDescent="0.2">
      <c r="D59"/>
      <c r="E59"/>
      <c r="F59"/>
      <c r="G59"/>
      <c r="H59"/>
      <c r="I59"/>
      <c r="J59"/>
      <c r="K59"/>
      <c r="L59"/>
      <c r="M59"/>
      <c r="N59"/>
    </row>
    <row r="60" spans="1:19" ht="20.25" customHeight="1" x14ac:dyDescent="0.2">
      <c r="D60"/>
      <c r="E60"/>
      <c r="F60"/>
      <c r="G60"/>
      <c r="H60"/>
      <c r="I60"/>
      <c r="J60"/>
      <c r="K60"/>
      <c r="L60"/>
      <c r="M60"/>
      <c r="N60"/>
    </row>
    <row r="61" spans="1:19" ht="15.75" customHeight="1" x14ac:dyDescent="0.2">
      <c r="A61" s="10"/>
    </row>
    <row r="62" spans="1:19" x14ac:dyDescent="0.2">
      <c r="A62" s="11"/>
    </row>
    <row r="64" spans="1:19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</sheetData>
  <mergeCells count="2">
    <mergeCell ref="G2:S2"/>
    <mergeCell ref="A5:C5"/>
  </mergeCells>
  <phoneticPr fontId="0" type="noConversion"/>
  <printOptions gridLines="1"/>
  <pageMargins left="0.41" right="0.36" top="0.984251969" bottom="0.984251969" header="0.4921259845" footer="0.4921259845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5"/>
  <sheetViews>
    <sheetView tabSelected="1" zoomScaleNormal="100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F48" sqref="F48"/>
    </sheetView>
  </sheetViews>
  <sheetFormatPr baseColWidth="10" defaultColWidth="14.140625" defaultRowHeight="12.75" x14ac:dyDescent="0.2"/>
  <cols>
    <col min="1" max="1" width="22.42578125" style="47" customWidth="1"/>
    <col min="2" max="2" width="14.140625" style="47" customWidth="1"/>
    <col min="3" max="3" width="9.140625" style="47" customWidth="1"/>
    <col min="4" max="4" width="6.85546875" style="70" customWidth="1"/>
    <col min="5" max="5" width="9" style="47" customWidth="1"/>
    <col min="6" max="6" width="7.85546875" style="47" customWidth="1"/>
    <col min="7" max="7" width="6.7109375" style="47" customWidth="1"/>
    <col min="8" max="8" width="6.85546875" style="47" customWidth="1"/>
    <col min="9" max="9" width="6.5703125" style="47" customWidth="1"/>
    <col min="10" max="10" width="11.28515625" style="47" customWidth="1"/>
    <col min="11" max="11" width="9.28515625" style="47" customWidth="1"/>
    <col min="12" max="12" width="14.140625" style="47" customWidth="1"/>
    <col min="13" max="13" width="13.5703125" style="47" customWidth="1"/>
    <col min="14" max="14" width="7.7109375" style="47" customWidth="1"/>
    <col min="15" max="15" width="9.140625" style="70" customWidth="1"/>
    <col min="16" max="16" width="10" style="70" customWidth="1"/>
    <col min="17" max="17" width="22.42578125" style="70" customWidth="1"/>
    <col min="18" max="18" width="11.85546875" style="90" customWidth="1"/>
    <col min="19" max="16384" width="14.140625" style="47"/>
  </cols>
  <sheetData>
    <row r="1" spans="1:18" ht="65.25" customHeight="1" thickBot="1" x14ac:dyDescent="0.3">
      <c r="A1" s="77" t="s">
        <v>104</v>
      </c>
      <c r="C1" s="40" t="s">
        <v>62</v>
      </c>
      <c r="D1" s="64"/>
      <c r="E1" s="41"/>
      <c r="F1" s="42"/>
      <c r="G1" s="42"/>
      <c r="H1" s="42"/>
      <c r="I1" s="42"/>
      <c r="J1" s="43" t="s">
        <v>42</v>
      </c>
      <c r="K1" s="44"/>
      <c r="L1" s="45"/>
      <c r="M1" s="46"/>
      <c r="N1" s="46"/>
      <c r="O1" s="97" t="s">
        <v>125</v>
      </c>
      <c r="P1" s="98"/>
      <c r="Q1" s="98"/>
    </row>
    <row r="2" spans="1:18" s="48" customFormat="1" ht="126.75" customHeight="1" thickBot="1" x14ac:dyDescent="0.25">
      <c r="A2" s="48" t="s">
        <v>54</v>
      </c>
      <c r="B2" s="48" t="s">
        <v>63</v>
      </c>
      <c r="C2" s="48" t="s">
        <v>1</v>
      </c>
      <c r="D2" s="65" t="s">
        <v>40</v>
      </c>
      <c r="E2" s="63" t="s">
        <v>48</v>
      </c>
      <c r="F2" s="63" t="s">
        <v>2</v>
      </c>
      <c r="G2" s="63" t="s">
        <v>3</v>
      </c>
      <c r="H2" s="63" t="s">
        <v>13</v>
      </c>
      <c r="I2" s="63" t="s">
        <v>31</v>
      </c>
      <c r="J2" s="61" t="s">
        <v>26</v>
      </c>
      <c r="K2" s="61" t="s">
        <v>105</v>
      </c>
      <c r="L2" s="61" t="s">
        <v>79</v>
      </c>
      <c r="M2" s="61" t="s">
        <v>78</v>
      </c>
      <c r="N2" s="61" t="s">
        <v>70</v>
      </c>
      <c r="O2" s="71" t="str">
        <f>"mind. Fettgehalt erreicht?  "&amp;  Grunddaten!$B$7 &amp; "g"</f>
        <v>mind. Fettgehalt erreicht?  6g</v>
      </c>
      <c r="P2" s="71" t="str">
        <f>"mind Protein-gehalt erreicht? " &amp; Grunddaten!$B$6 &amp; "g"</f>
        <v>mind Protein-gehalt erreicht? 19,08g</v>
      </c>
      <c r="Q2" s="89" t="s">
        <v>106</v>
      </c>
      <c r="R2" s="91" t="s">
        <v>114</v>
      </c>
    </row>
    <row r="3" spans="1:18" s="48" customFormat="1" ht="21.75" customHeight="1" thickBot="1" x14ac:dyDescent="0.25">
      <c r="A3" s="49" t="s">
        <v>39</v>
      </c>
      <c r="B3" s="50"/>
      <c r="C3" s="50"/>
      <c r="D3" s="66"/>
      <c r="E3" s="51" t="s">
        <v>77</v>
      </c>
      <c r="F3" s="51" t="s">
        <v>77</v>
      </c>
      <c r="G3" s="51" t="s">
        <v>77</v>
      </c>
      <c r="H3" s="51" t="s">
        <v>77</v>
      </c>
      <c r="I3" s="51" t="s">
        <v>77</v>
      </c>
      <c r="J3" s="60"/>
      <c r="K3" s="52"/>
      <c r="L3" s="53"/>
      <c r="M3" s="51" t="s">
        <v>77</v>
      </c>
      <c r="N3" s="54"/>
      <c r="O3" s="72"/>
      <c r="P3" s="72"/>
      <c r="Q3" s="72"/>
      <c r="R3" s="91"/>
    </row>
    <row r="4" spans="1:18" s="50" customFormat="1" ht="23.25" customHeight="1" thickBot="1" x14ac:dyDescent="0.25">
      <c r="A4" s="82" t="s">
        <v>20</v>
      </c>
      <c r="B4" s="83" t="s">
        <v>27</v>
      </c>
      <c r="C4" s="55" t="s">
        <v>88</v>
      </c>
      <c r="D4" s="68">
        <v>800</v>
      </c>
      <c r="E4" s="56">
        <v>79</v>
      </c>
      <c r="F4" s="55">
        <v>11.5</v>
      </c>
      <c r="G4" s="55">
        <v>6</v>
      </c>
      <c r="H4" s="55">
        <v>0.5</v>
      </c>
      <c r="I4" s="55">
        <v>1.8</v>
      </c>
      <c r="J4" s="62">
        <f t="shared" ref="J4:J33" si="0">IF(SUM(E4:I4)&lt;92,"falsche Werte",((24*F4+38*G4+17*H4+17*(K4*(100-E4)/100)*(87.9-(0.88*H4*100/(100-E4)))/100-(3.1*F4))/4.19))</f>
        <v>117.98428912376407</v>
      </c>
      <c r="K4" s="55">
        <f t="shared" ref="K4:K33" si="1">IF((100-F4-G4-H4-I4-E4)&lt;0, 0,(100-F4-G4-H4-I4-E4)*100/(100-E4))</f>
        <v>5.7142857142857277</v>
      </c>
      <c r="L4" s="45">
        <f>Grunddaten!$B$10/J4*100</f>
        <v>195.2802374884958</v>
      </c>
      <c r="M4" s="46">
        <v>0.32</v>
      </c>
      <c r="N4" s="46">
        <f t="shared" ref="N4:N32" si="2">L4*M4/100</f>
        <v>0.62489675996318661</v>
      </c>
      <c r="O4" s="66" t="str">
        <f>IF(L4*G4/100&lt;Grunddaten!B$7,"zuwenig","ok")</f>
        <v>ok</v>
      </c>
      <c r="P4" s="66" t="str">
        <f>IF(L4*F4/100&lt;Grunddaten!B$6*0.85,"zuwenig","ok")</f>
        <v>ok</v>
      </c>
      <c r="Q4" s="66" t="str">
        <f>IF(K4&lt;=15,"gut","schlecht")</f>
        <v>gut</v>
      </c>
      <c r="R4" s="92"/>
    </row>
    <row r="5" spans="1:18" s="57" customFormat="1" ht="18.75" customHeight="1" thickBot="1" x14ac:dyDescent="0.25">
      <c r="A5" s="82" t="s">
        <v>28</v>
      </c>
      <c r="B5" s="86" t="s">
        <v>8</v>
      </c>
      <c r="C5" s="55" t="s">
        <v>6</v>
      </c>
      <c r="D5" s="68">
        <v>412</v>
      </c>
      <c r="E5" s="55">
        <v>82</v>
      </c>
      <c r="F5" s="55">
        <v>10.5</v>
      </c>
      <c r="G5" s="55">
        <v>5</v>
      </c>
      <c r="H5" s="55">
        <v>0.2</v>
      </c>
      <c r="I5" s="55">
        <v>2</v>
      </c>
      <c r="J5" s="62">
        <f t="shared" si="0"/>
        <v>99.59022275258549</v>
      </c>
      <c r="K5" s="55">
        <f t="shared" si="1"/>
        <v>1.666666666666651</v>
      </c>
      <c r="L5" s="45">
        <f>Grunddaten!$B$10/J5*100</f>
        <v>231.34801151352832</v>
      </c>
      <c r="M5" s="46">
        <v>0.31</v>
      </c>
      <c r="N5" s="46">
        <f t="shared" si="2"/>
        <v>0.71717883569193774</v>
      </c>
      <c r="O5" s="66" t="str">
        <f>IF(L5*G5/100&lt;Grunddaten!B$7,"zuwenig","ok")</f>
        <v>ok</v>
      </c>
      <c r="P5" s="66" t="str">
        <f>IF(L5*F5/100&lt;Grunddaten!B$6*0.85,"zuwenig","ok")</f>
        <v>ok</v>
      </c>
      <c r="Q5" s="66" t="str">
        <f t="shared" ref="Q5:Q32" si="3">IF(K5&lt;=15,"gut","schlecht")</f>
        <v>gut</v>
      </c>
      <c r="R5" s="92"/>
    </row>
    <row r="6" spans="1:18" ht="13.5" thickBot="1" x14ac:dyDescent="0.25">
      <c r="A6" s="82" t="s">
        <v>89</v>
      </c>
      <c r="B6" s="83"/>
      <c r="C6" s="76" t="s">
        <v>88</v>
      </c>
      <c r="D6" s="68">
        <v>500</v>
      </c>
      <c r="E6" s="56">
        <v>79</v>
      </c>
      <c r="F6" s="56">
        <v>10.5</v>
      </c>
      <c r="G6" s="56">
        <v>5.5</v>
      </c>
      <c r="H6" s="56">
        <v>0.3</v>
      </c>
      <c r="I6" s="56">
        <v>2</v>
      </c>
      <c r="J6" s="62">
        <f t="shared" si="0"/>
        <v>112.96397886123424</v>
      </c>
      <c r="K6" s="56">
        <f t="shared" si="1"/>
        <v>12.85714285714287</v>
      </c>
      <c r="L6" s="45">
        <f>Grunddaten!$B$10/J6*100</f>
        <v>203.95882149567782</v>
      </c>
      <c r="M6" s="58">
        <f>0.8/1.9</f>
        <v>0.4210526315789474</v>
      </c>
      <c r="N6" s="46">
        <f t="shared" si="2"/>
        <v>0.85877398524495929</v>
      </c>
      <c r="O6" s="66" t="str">
        <f>IF(L6*G6/100&lt;Grunddaten!B$7,"zuwenig","ok")</f>
        <v>ok</v>
      </c>
      <c r="P6" s="66" t="str">
        <f>IF(L6*F6/100&lt;Grunddaten!B$6*0.85,"zuwenig","ok")</f>
        <v>ok</v>
      </c>
      <c r="Q6" s="66" t="str">
        <f t="shared" si="3"/>
        <v>gut</v>
      </c>
      <c r="R6" s="92"/>
    </row>
    <row r="7" spans="1:18" ht="13.5" thickBot="1" x14ac:dyDescent="0.25">
      <c r="A7" s="82" t="s">
        <v>99</v>
      </c>
      <c r="B7" s="84" t="s">
        <v>52</v>
      </c>
      <c r="C7" s="55" t="s">
        <v>88</v>
      </c>
      <c r="D7" s="68">
        <v>1500</v>
      </c>
      <c r="E7" s="56">
        <v>75</v>
      </c>
      <c r="F7" s="55">
        <v>10.8</v>
      </c>
      <c r="G7" s="55">
        <v>6.5</v>
      </c>
      <c r="H7" s="55">
        <v>0.4</v>
      </c>
      <c r="I7" s="55">
        <v>2.5</v>
      </c>
      <c r="J7" s="62">
        <f t="shared" si="0"/>
        <v>131.28817947494031</v>
      </c>
      <c r="K7" s="55">
        <f t="shared" si="1"/>
        <v>19.199999999999989</v>
      </c>
      <c r="L7" s="45">
        <f>Grunddaten!$B$10/J7*100</f>
        <v>175.49180811359923</v>
      </c>
      <c r="M7" s="46">
        <v>0.54</v>
      </c>
      <c r="N7" s="46">
        <f t="shared" si="2"/>
        <v>0.94765576381343597</v>
      </c>
      <c r="O7" s="66" t="str">
        <f>IF(L7*G7/100&lt;Grunddaten!B$7,"zuwenig","ok")</f>
        <v>ok</v>
      </c>
      <c r="P7" s="66" t="str">
        <f>IF(L7*F7/100&lt;Grunddaten!B$6*0.85,"zuwenig","ok")</f>
        <v>ok</v>
      </c>
      <c r="Q7" s="66" t="str">
        <f t="shared" si="3"/>
        <v>schlecht</v>
      </c>
      <c r="R7" s="92"/>
    </row>
    <row r="8" spans="1:18" ht="13.5" thickBot="1" x14ac:dyDescent="0.25">
      <c r="A8" s="82" t="s">
        <v>120</v>
      </c>
      <c r="B8" s="86" t="s">
        <v>14</v>
      </c>
      <c r="C8" s="55" t="s">
        <v>47</v>
      </c>
      <c r="D8" s="68">
        <v>1500</v>
      </c>
      <c r="E8" s="56">
        <v>81</v>
      </c>
      <c r="F8" s="56">
        <v>10.4</v>
      </c>
      <c r="G8" s="56">
        <v>5.9</v>
      </c>
      <c r="H8" s="56">
        <v>0.4</v>
      </c>
      <c r="I8" s="56">
        <v>1.9</v>
      </c>
      <c r="J8" s="62">
        <f t="shared" si="0"/>
        <v>108.40363270945855</v>
      </c>
      <c r="K8" s="55">
        <f t="shared" si="1"/>
        <v>2.1052631578946173</v>
      </c>
      <c r="L8" s="45">
        <f>Grunddaten!$B$10/J8*100</f>
        <v>212.53900283721481</v>
      </c>
      <c r="M8" s="46">
        <v>0.5</v>
      </c>
      <c r="N8" s="46">
        <f t="shared" si="2"/>
        <v>1.062695014186074</v>
      </c>
      <c r="O8" s="66" t="str">
        <f>IF(L8*G8/100&lt;Grunddaten!B$7,"zuwenig","ok")</f>
        <v>ok</v>
      </c>
      <c r="P8" s="66" t="str">
        <f>IF(L8*F8/100&lt;Grunddaten!B$6*0.85,"zuwenig","ok")</f>
        <v>ok</v>
      </c>
      <c r="Q8" s="66" t="str">
        <f t="shared" si="3"/>
        <v>gut</v>
      </c>
      <c r="R8" s="92"/>
    </row>
    <row r="9" spans="1:18" ht="26.25" thickBot="1" x14ac:dyDescent="0.25">
      <c r="A9" s="82" t="s">
        <v>142</v>
      </c>
      <c r="B9" s="84" t="s">
        <v>97</v>
      </c>
      <c r="C9" s="55" t="s">
        <v>143</v>
      </c>
      <c r="D9" s="68"/>
      <c r="E9" s="56">
        <v>80</v>
      </c>
      <c r="F9" s="56">
        <v>12.2</v>
      </c>
      <c r="G9" s="56">
        <v>6</v>
      </c>
      <c r="H9" s="56">
        <v>0.3</v>
      </c>
      <c r="I9" s="56">
        <v>2.2999999999999998</v>
      </c>
      <c r="J9" s="62">
        <f t="shared" si="0"/>
        <v>116.48687350835321</v>
      </c>
      <c r="K9" s="55">
        <f t="shared" si="1"/>
        <v>0</v>
      </c>
      <c r="L9" s="45">
        <f>Grunddaten!$B$10/J9*100</f>
        <v>197.79052614325522</v>
      </c>
      <c r="M9" s="46">
        <v>0.56999999999999995</v>
      </c>
      <c r="N9" s="46">
        <f t="shared" si="2"/>
        <v>1.1274059990165548</v>
      </c>
      <c r="O9" s="66" t="str">
        <f>IF(L9*G9/100&lt;Grunddaten!B$7,"zuwenig","ok")</f>
        <v>ok</v>
      </c>
      <c r="P9" s="66" t="str">
        <f>IF(L9*F9/100&lt;Grunddaten!B$6*0.85,"zuwenig","ok")</f>
        <v>ok</v>
      </c>
      <c r="Q9" s="66" t="str">
        <f t="shared" si="3"/>
        <v>gut</v>
      </c>
      <c r="R9" s="92"/>
    </row>
    <row r="10" spans="1:18" ht="26.25" thickBot="1" x14ac:dyDescent="0.25">
      <c r="A10" s="82" t="s">
        <v>51</v>
      </c>
      <c r="B10" s="83" t="s">
        <v>11</v>
      </c>
      <c r="C10" s="55" t="s">
        <v>5</v>
      </c>
      <c r="D10" s="68"/>
      <c r="E10" s="56">
        <v>79</v>
      </c>
      <c r="F10" s="56">
        <v>9.5</v>
      </c>
      <c r="G10" s="56">
        <v>7</v>
      </c>
      <c r="H10" s="56">
        <v>0.4</v>
      </c>
      <c r="I10" s="56">
        <v>2.5</v>
      </c>
      <c r="J10" s="62">
        <f t="shared" si="0"/>
        <v>118.0913785657461</v>
      </c>
      <c r="K10" s="55">
        <f t="shared" si="1"/>
        <v>7.619047619047592</v>
      </c>
      <c r="L10" s="45">
        <f>Grunddaten!$B$10/J10*100</f>
        <v>195.10315045710752</v>
      </c>
      <c r="M10" s="46">
        <v>0.59</v>
      </c>
      <c r="N10" s="46">
        <f t="shared" si="2"/>
        <v>1.1511085876969342</v>
      </c>
      <c r="O10" s="66" t="str">
        <f>IF(L10*G10/100&lt;Grunddaten!B$7,"zuwenig","ok")</f>
        <v>ok</v>
      </c>
      <c r="P10" s="66" t="str">
        <f>IF(L10*F10/100&lt;Grunddaten!B$6*0.85,"zuwenig","ok")</f>
        <v>ok</v>
      </c>
      <c r="Q10" s="66" t="str">
        <f t="shared" si="3"/>
        <v>gut</v>
      </c>
      <c r="R10" s="92"/>
    </row>
    <row r="11" spans="1:18" ht="13.5" thickBot="1" x14ac:dyDescent="0.25">
      <c r="A11" s="82" t="s">
        <v>87</v>
      </c>
      <c r="B11" s="84"/>
      <c r="C11" s="55" t="s">
        <v>88</v>
      </c>
      <c r="D11" s="68">
        <v>300</v>
      </c>
      <c r="E11" s="56">
        <v>77</v>
      </c>
      <c r="F11" s="56">
        <v>12</v>
      </c>
      <c r="G11" s="56">
        <v>7</v>
      </c>
      <c r="H11" s="56">
        <v>0.5</v>
      </c>
      <c r="I11" s="56">
        <v>2.5</v>
      </c>
      <c r="J11" s="62">
        <f t="shared" si="0"/>
        <v>128.85865933381754</v>
      </c>
      <c r="K11" s="55">
        <f t="shared" si="1"/>
        <v>4.3478260869565215</v>
      </c>
      <c r="L11" s="45">
        <f>Grunddaten!$B$10/J11*100</f>
        <v>178.8005565098519</v>
      </c>
      <c r="M11" s="46">
        <f>0.55/85*100</f>
        <v>0.64705882352941191</v>
      </c>
      <c r="N11" s="46">
        <f t="shared" si="2"/>
        <v>1.156944777416689</v>
      </c>
      <c r="O11" s="66" t="str">
        <f>IF(L11*G11/100&lt;Grunddaten!B$7,"zuwenig","ok")</f>
        <v>ok</v>
      </c>
      <c r="P11" s="66" t="str">
        <f>IF(L11*F11/100&lt;Grunddaten!B$6*0.85,"zuwenig","ok")</f>
        <v>ok</v>
      </c>
      <c r="Q11" s="66" t="str">
        <f t="shared" si="3"/>
        <v>gut</v>
      </c>
      <c r="R11" s="92" t="s">
        <v>115</v>
      </c>
    </row>
    <row r="12" spans="1:18" ht="13.5" thickBot="1" x14ac:dyDescent="0.25">
      <c r="A12" s="82" t="s">
        <v>130</v>
      </c>
      <c r="B12" s="84" t="s">
        <v>132</v>
      </c>
      <c r="C12" s="55" t="s">
        <v>133</v>
      </c>
      <c r="D12" s="68">
        <v>1500</v>
      </c>
      <c r="E12" s="56">
        <v>80</v>
      </c>
      <c r="F12" s="55">
        <v>9</v>
      </c>
      <c r="G12" s="55">
        <v>4.8</v>
      </c>
      <c r="H12" s="55">
        <v>1.5</v>
      </c>
      <c r="I12" s="55">
        <v>2.5</v>
      </c>
      <c r="J12" s="62">
        <f>IF(SUM(E12:I12)&lt;92,"falsche Werte",((24*F12+38*G12+17*H12+17*(K12*(100-E12)/100)*(87.9-(0.88*H12*100/(100-E12)))/100-(3.1*F12))/4.19))</f>
        <v>101.76758949880669</v>
      </c>
      <c r="K12" s="55">
        <f>IF((100-F12-G12-H12-I12-E12)&lt;0, 0,(100-F12-G12-H12-I12-E12)*100/(100-E12))</f>
        <v>11.000000000000014</v>
      </c>
      <c r="L12" s="45">
        <f>Grunddaten!$B$10/J12*100</f>
        <v>226.39820903166981</v>
      </c>
      <c r="M12" s="46">
        <v>0.67</v>
      </c>
      <c r="N12" s="46">
        <f>L12*M12/100</f>
        <v>1.5168680005121877</v>
      </c>
      <c r="O12" s="66" t="str">
        <f>IF(L12*G12/100&lt;Grunddaten!B$7,"zuwenig","ok")</f>
        <v>ok</v>
      </c>
      <c r="P12" s="66" t="str">
        <f>IF(L12*F12/100&lt;Grunddaten!B$6*0.85,"zuwenig","ok")</f>
        <v>ok</v>
      </c>
      <c r="Q12" s="66" t="str">
        <f>IF(K12&lt;=15,"gut","schlecht")</f>
        <v>gut</v>
      </c>
      <c r="R12" s="92" t="s">
        <v>115</v>
      </c>
    </row>
    <row r="13" spans="1:18" ht="13.5" thickBot="1" x14ac:dyDescent="0.25">
      <c r="A13" s="82" t="s">
        <v>135</v>
      </c>
      <c r="B13" s="84"/>
      <c r="C13" s="55" t="s">
        <v>88</v>
      </c>
      <c r="D13" s="68">
        <v>450</v>
      </c>
      <c r="E13" s="56">
        <v>81</v>
      </c>
      <c r="F13" s="56">
        <v>9</v>
      </c>
      <c r="G13" s="56">
        <v>6.5</v>
      </c>
      <c r="H13" s="56">
        <v>0.7</v>
      </c>
      <c r="I13" s="56">
        <v>2</v>
      </c>
      <c r="J13" s="62">
        <f t="shared" si="0"/>
        <v>109.43042331365405</v>
      </c>
      <c r="K13" s="55">
        <f t="shared" si="1"/>
        <v>4.2105263157894584</v>
      </c>
      <c r="L13" s="45">
        <f>Grunddaten!$B$10/J13*100</f>
        <v>210.54473977462186</v>
      </c>
      <c r="M13" s="46">
        <f>0.55/85*100</f>
        <v>0.64705882352941191</v>
      </c>
      <c r="N13" s="46">
        <f>L13*M13/100</f>
        <v>1.36234831618873</v>
      </c>
      <c r="O13" s="66" t="str">
        <f>IF(L13*G13/100&lt;Grunddaten!B$7,"zuwenig","ok")</f>
        <v>ok</v>
      </c>
      <c r="P13" s="66" t="str">
        <f>IF(L13*F13/100&lt;Grunddaten!B$6*0.85,"zuwenig","ok")</f>
        <v>ok</v>
      </c>
      <c r="Q13" s="66" t="str">
        <f>IF(K13&lt;=15,"gut","schlecht")</f>
        <v>gut</v>
      </c>
      <c r="R13" s="92" t="s">
        <v>115</v>
      </c>
    </row>
    <row r="14" spans="1:18" ht="13.5" thickBot="1" x14ac:dyDescent="0.25">
      <c r="A14" s="82" t="s">
        <v>131</v>
      </c>
      <c r="B14" s="84"/>
      <c r="C14" s="55" t="s">
        <v>129</v>
      </c>
      <c r="D14" s="68">
        <v>800</v>
      </c>
      <c r="E14" s="55">
        <v>80</v>
      </c>
      <c r="F14" s="55">
        <v>10</v>
      </c>
      <c r="G14" s="55">
        <v>7</v>
      </c>
      <c r="H14" s="55">
        <v>0.4</v>
      </c>
      <c r="I14" s="55">
        <v>1.8</v>
      </c>
      <c r="J14" s="62">
        <f>IF(SUM(E14:I14)&lt;92,"falsche Werte",((24*F14+38*G14+17*H14+17*(K14*(100-E14)/100)*(87.9-(0.88*H14*100/(100-E14)))/100-(3.1*F14))/4.19))</f>
        <v>117.78401909307873</v>
      </c>
      <c r="K14" s="55">
        <f>IF((100-F14-G14-H14-I14-E14)&lt;0, 0,(100-F14-G14-H14-I14-E14)*100/(100-E14))</f>
        <v>3.9999999999999858</v>
      </c>
      <c r="L14" s="45">
        <f>Grunddaten!$B$10/J14*100</f>
        <v>195.61227556509732</v>
      </c>
      <c r="M14" s="46">
        <v>0.45</v>
      </c>
      <c r="N14" s="46">
        <f>L14*M14/100</f>
        <v>0.88025524004293798</v>
      </c>
      <c r="O14" s="66" t="str">
        <f>IF(L14*G14/100&lt;Grunddaten!B$7,"zuwenig","ok")</f>
        <v>ok</v>
      </c>
      <c r="P14" s="66" t="str">
        <f>IF(L14*F14/100&lt;Grunddaten!B$6*0.85,"zuwenig","ok")</f>
        <v>ok</v>
      </c>
      <c r="Q14" s="66" t="str">
        <f>IF(K14&lt;=15,"gut","schlecht")</f>
        <v>gut</v>
      </c>
      <c r="R14" s="92" t="s">
        <v>115</v>
      </c>
    </row>
    <row r="15" spans="1:18" ht="13.5" thickBot="1" x14ac:dyDescent="0.25">
      <c r="A15" s="82" t="s">
        <v>134</v>
      </c>
      <c r="B15" s="84"/>
      <c r="C15" s="55" t="s">
        <v>129</v>
      </c>
      <c r="D15" s="68"/>
      <c r="E15" s="55">
        <v>82</v>
      </c>
      <c r="F15" s="55">
        <v>10</v>
      </c>
      <c r="G15" s="55">
        <v>4.5</v>
      </c>
      <c r="H15" s="55">
        <v>0.4</v>
      </c>
      <c r="I15" s="55">
        <v>1.5</v>
      </c>
      <c r="J15" s="62">
        <f>IF(SUM(E15:I15)&lt;92,"falsche Werte",((24*F15+38*G15+17*H15+17*(K15*(100-E15)/100)*(87.9-(0.88*H15*100/(100-E15)))/100-(3.1*F15))/4.19))</f>
        <v>97.894245558207345</v>
      </c>
      <c r="K15" s="55">
        <f>IF((100-F15-G15-H15-I15-E15)&lt;0, 0,(100-F15-G15-H15-I15-E15)*100/(100-E15))</f>
        <v>8.8888888888888573</v>
      </c>
      <c r="L15" s="45">
        <f>Grunddaten!$B$10/J15*100</f>
        <v>235.35601984184606</v>
      </c>
      <c r="M15" s="46">
        <v>0.2</v>
      </c>
      <c r="N15" s="46">
        <f>L15*M15/100</f>
        <v>0.47071203968369218</v>
      </c>
      <c r="O15" s="66" t="str">
        <f>IF(L15*G15/100&lt;Grunddaten!B$7,"zuwenig","ok")</f>
        <v>ok</v>
      </c>
      <c r="P15" s="66" t="str">
        <f>IF(L15*F15/100&lt;Grunddaten!B$6*0.85,"zuwenig","ok")</f>
        <v>ok</v>
      </c>
      <c r="Q15" s="66" t="str">
        <f>IF(K15&lt;=15,"gut","schlecht")</f>
        <v>gut</v>
      </c>
      <c r="R15" s="92" t="s">
        <v>115</v>
      </c>
    </row>
    <row r="16" spans="1:18" ht="26.25" thickBot="1" x14ac:dyDescent="0.25">
      <c r="A16" s="82" t="s">
        <v>86</v>
      </c>
      <c r="B16" s="85" t="s">
        <v>8</v>
      </c>
      <c r="C16" s="57"/>
      <c r="D16" s="69" t="s">
        <v>74</v>
      </c>
      <c r="E16" s="56">
        <v>82</v>
      </c>
      <c r="F16" s="56">
        <v>11</v>
      </c>
      <c r="G16" s="56">
        <v>3</v>
      </c>
      <c r="H16" s="56">
        <v>0.2</v>
      </c>
      <c r="I16" s="56">
        <v>2</v>
      </c>
      <c r="J16" s="62">
        <f t="shared" si="0"/>
        <v>89.235847255369904</v>
      </c>
      <c r="K16" s="55">
        <f t="shared" si="1"/>
        <v>9.999999999999984</v>
      </c>
      <c r="L16" s="45">
        <f>Grunddaten!$B$10/J16*100</f>
        <v>258.19220311838899</v>
      </c>
      <c r="M16" s="46">
        <v>0.45</v>
      </c>
      <c r="N16" s="46">
        <f t="shared" si="2"/>
        <v>1.1618649140327504</v>
      </c>
      <c r="O16" s="66" t="str">
        <f>IF(L16*G16/100&lt;Grunddaten!B$7,"zuwenig","ok")</f>
        <v>ok</v>
      </c>
      <c r="P16" s="66" t="str">
        <f>IF(L16*F16/100&lt;Grunddaten!B$6*0.85,"zuwenig","ok")</f>
        <v>ok</v>
      </c>
      <c r="Q16" s="66" t="str">
        <f t="shared" si="3"/>
        <v>gut</v>
      </c>
      <c r="R16" s="92"/>
    </row>
    <row r="17" spans="1:18" ht="26.25" thickBot="1" x14ac:dyDescent="0.25">
      <c r="A17" s="82" t="s">
        <v>141</v>
      </c>
      <c r="B17" s="85" t="s">
        <v>128</v>
      </c>
      <c r="C17" s="57" t="s">
        <v>140</v>
      </c>
      <c r="D17" s="69">
        <v>450</v>
      </c>
      <c r="E17" s="56">
        <v>79.8</v>
      </c>
      <c r="F17" s="56">
        <v>10.199999999999999</v>
      </c>
      <c r="G17" s="56">
        <v>4.5999999999999996</v>
      </c>
      <c r="H17" s="56">
        <v>0.4</v>
      </c>
      <c r="I17" s="56">
        <v>2.1</v>
      </c>
      <c r="J17" s="62">
        <f t="shared" si="0"/>
        <v>104.35694770670385</v>
      </c>
      <c r="K17" s="55">
        <f t="shared" si="1"/>
        <v>14.356435643564383</v>
      </c>
      <c r="L17" s="45">
        <f>Grunddaten!$B$10/J17*100</f>
        <v>220.78070033970457</v>
      </c>
      <c r="M17" s="46">
        <v>0.98</v>
      </c>
      <c r="N17" s="46">
        <f>L17*M17/100</f>
        <v>2.1636508633291047</v>
      </c>
      <c r="O17" s="66" t="str">
        <f>IF(L17*G17/100&lt;Grunddaten!B$7,"zuwenig","ok")</f>
        <v>ok</v>
      </c>
      <c r="P17" s="66" t="str">
        <f>IF(L17*F17/100&lt;Grunddaten!B$6*0.85,"zuwenig","ok")</f>
        <v>ok</v>
      </c>
      <c r="Q17" s="66" t="str">
        <f>IF(K17&lt;=15,"gut","schlecht")</f>
        <v>gut</v>
      </c>
      <c r="R17" s="92"/>
    </row>
    <row r="18" spans="1:18" ht="13.5" thickBot="1" x14ac:dyDescent="0.25">
      <c r="A18" s="82" t="s">
        <v>50</v>
      </c>
      <c r="B18" s="84" t="s">
        <v>12</v>
      </c>
      <c r="C18" s="55" t="s">
        <v>5</v>
      </c>
      <c r="D18" s="68">
        <v>500</v>
      </c>
      <c r="E18" s="56">
        <v>78</v>
      </c>
      <c r="F18" s="55">
        <v>10.5</v>
      </c>
      <c r="G18" s="55">
        <v>7.5</v>
      </c>
      <c r="H18" s="55">
        <v>0.5</v>
      </c>
      <c r="I18" s="55">
        <v>2.5</v>
      </c>
      <c r="J18" s="62">
        <f t="shared" si="0"/>
        <v>125.90763723150357</v>
      </c>
      <c r="K18" s="55">
        <f t="shared" si="1"/>
        <v>4.5454545454545459</v>
      </c>
      <c r="L18" s="45">
        <f>Grunddaten!$B$10/J18*100</f>
        <v>182.99128239248</v>
      </c>
      <c r="M18" s="46">
        <v>0.65</v>
      </c>
      <c r="N18" s="46">
        <f t="shared" si="2"/>
        <v>1.18944333555112</v>
      </c>
      <c r="O18" s="66" t="str">
        <f>IF(L18*G18/100&lt;Grunddaten!B$7,"zuwenig","ok")</f>
        <v>ok</v>
      </c>
      <c r="P18" s="66" t="str">
        <f>IF(L18*F18/100&lt;Grunddaten!B$6*0.85,"zuwenig","ok")</f>
        <v>ok</v>
      </c>
      <c r="Q18" s="66" t="str">
        <f t="shared" si="3"/>
        <v>gut</v>
      </c>
      <c r="R18" s="92"/>
    </row>
    <row r="19" spans="1:18" ht="26.25" thickBot="1" x14ac:dyDescent="0.25">
      <c r="A19" s="82" t="s">
        <v>98</v>
      </c>
      <c r="B19" s="84" t="s">
        <v>10</v>
      </c>
      <c r="C19" s="55" t="s">
        <v>17</v>
      </c>
      <c r="D19" s="68">
        <v>1000</v>
      </c>
      <c r="E19" s="56">
        <v>79</v>
      </c>
      <c r="F19" s="56">
        <v>10</v>
      </c>
      <c r="G19" s="56">
        <v>5.5</v>
      </c>
      <c r="H19" s="56">
        <v>0.4</v>
      </c>
      <c r="I19" s="56">
        <v>2.4</v>
      </c>
      <c r="J19" s="62">
        <f t="shared" si="0"/>
        <v>110.82976815547217</v>
      </c>
      <c r="K19" s="55">
        <f t="shared" si="1"/>
        <v>12.857142857142803</v>
      </c>
      <c r="L19" s="45">
        <f>Grunddaten!$B$10/J19*100</f>
        <v>207.88638633331306</v>
      </c>
      <c r="M19" s="46">
        <v>0.7</v>
      </c>
      <c r="N19" s="46">
        <f t="shared" si="2"/>
        <v>1.4552047043331913</v>
      </c>
      <c r="O19" s="66" t="str">
        <f>IF(L19*G19/100&lt;Grunddaten!B$7,"zuwenig","ok")</f>
        <v>ok</v>
      </c>
      <c r="P19" s="66" t="str">
        <f>IF(L19*F19/100&lt;Grunddaten!B$6*0.85,"zuwenig","ok")</f>
        <v>ok</v>
      </c>
      <c r="Q19" s="66" t="str">
        <f t="shared" si="3"/>
        <v>gut</v>
      </c>
      <c r="R19" s="92"/>
    </row>
    <row r="20" spans="1:18" ht="13.5" thickBot="1" x14ac:dyDescent="0.25">
      <c r="A20" s="82" t="s">
        <v>0</v>
      </c>
      <c r="B20" s="82" t="s">
        <v>9</v>
      </c>
      <c r="C20" s="55" t="s">
        <v>4</v>
      </c>
      <c r="D20" s="68">
        <v>500</v>
      </c>
      <c r="E20" s="56">
        <v>82</v>
      </c>
      <c r="F20" s="56">
        <v>10.5</v>
      </c>
      <c r="G20" s="56">
        <v>4</v>
      </c>
      <c r="H20" s="56">
        <v>0.5</v>
      </c>
      <c r="I20" s="56">
        <v>1.6</v>
      </c>
      <c r="J20" s="62">
        <f t="shared" si="0"/>
        <v>95.534229647308422</v>
      </c>
      <c r="K20" s="55">
        <f t="shared" si="1"/>
        <v>7.7777777777778097</v>
      </c>
      <c r="L20" s="45">
        <f>Grunddaten!$B$10/J20*100</f>
        <v>241.17010295742861</v>
      </c>
      <c r="M20" s="46">
        <v>0.69</v>
      </c>
      <c r="N20" s="46">
        <f t="shared" si="2"/>
        <v>1.6640737104062573</v>
      </c>
      <c r="O20" s="66" t="str">
        <f>IF(L20*G20/100&lt;Grunddaten!B$7,"zuwenig","ok")</f>
        <v>ok</v>
      </c>
      <c r="P20" s="66" t="str">
        <f>IF(L20*F20/100&lt;Grunddaten!B$6*0.85,"zuwenig","ok")</f>
        <v>ok</v>
      </c>
      <c r="Q20" s="66" t="str">
        <f t="shared" si="3"/>
        <v>gut</v>
      </c>
      <c r="R20" s="92"/>
    </row>
    <row r="21" spans="1:18" ht="13.5" thickBot="1" x14ac:dyDescent="0.25">
      <c r="A21" s="82" t="s">
        <v>110</v>
      </c>
      <c r="B21" s="84" t="s">
        <v>109</v>
      </c>
      <c r="C21" s="55" t="s">
        <v>88</v>
      </c>
      <c r="D21" s="68">
        <v>1500</v>
      </c>
      <c r="E21" s="55">
        <v>79</v>
      </c>
      <c r="F21" s="55">
        <v>12</v>
      </c>
      <c r="G21" s="55">
        <v>6</v>
      </c>
      <c r="H21" s="55">
        <v>0.4</v>
      </c>
      <c r="I21" s="55">
        <v>1.8</v>
      </c>
      <c r="J21" s="62">
        <f t="shared" si="0"/>
        <v>118.6936606432549</v>
      </c>
      <c r="K21" s="55">
        <f t="shared" si="1"/>
        <v>3.809523809523796</v>
      </c>
      <c r="L21" s="45">
        <f>Grunddaten!$B$10/J21*100</f>
        <v>194.11314703022694</v>
      </c>
      <c r="M21" s="46">
        <v>0.62</v>
      </c>
      <c r="N21" s="46">
        <f t="shared" si="2"/>
        <v>1.203501511587407</v>
      </c>
      <c r="O21" s="66" t="str">
        <f>IF(L21*G21/100&lt;Grunddaten!B$7,"zuwenig","ok")</f>
        <v>ok</v>
      </c>
      <c r="P21" s="66" t="str">
        <f>IF(L21*F21/100&lt;Grunddaten!B$6*0.85,"zuwenig","ok")</f>
        <v>ok</v>
      </c>
      <c r="Q21" s="66" t="str">
        <f t="shared" si="3"/>
        <v>gut</v>
      </c>
      <c r="R21" s="92"/>
    </row>
    <row r="22" spans="1:18" ht="26.25" thickBot="1" x14ac:dyDescent="0.25">
      <c r="A22" s="82" t="s">
        <v>123</v>
      </c>
      <c r="B22" s="81" t="s">
        <v>119</v>
      </c>
      <c r="C22" s="55" t="s">
        <v>88</v>
      </c>
      <c r="D22" s="68">
        <v>1500</v>
      </c>
      <c r="E22" s="55">
        <v>80</v>
      </c>
      <c r="F22" s="55">
        <v>12.5</v>
      </c>
      <c r="G22" s="55">
        <v>6.5</v>
      </c>
      <c r="H22" s="55">
        <v>0.4</v>
      </c>
      <c r="I22" s="55">
        <v>2</v>
      </c>
      <c r="J22" s="62">
        <f>IF(SUM(E22:I22)&lt;92,"falsche Werte",((24*F22+38*G22+17*H22+17*(K22*(100-E22)/100)*(87.9-(0.88*H22*100/(100-E22)))/100-(3.1*F22))/4.19))</f>
        <v>122.92362768496417</v>
      </c>
      <c r="K22" s="55">
        <f>IF((100-F22-G22-H22-I22-E22)&lt;0, 0,(100-F22-G22-H22-I22-E22)*100/(100-E22))</f>
        <v>0</v>
      </c>
      <c r="L22" s="45">
        <f>Grunddaten!$B$10/J22*100</f>
        <v>187.43345306280946</v>
      </c>
      <c r="M22" s="46">
        <v>0.44</v>
      </c>
      <c r="N22" s="46">
        <f>L22*M22/100</f>
        <v>0.82470719347636168</v>
      </c>
      <c r="O22" s="66" t="str">
        <f>IF(L22*G22/100&lt;Grunddaten!B$7,"zuwenig","ok")</f>
        <v>ok</v>
      </c>
      <c r="P22" s="66" t="str">
        <f>IF(L22*F22/100&lt;Grunddaten!B$6*0.85,"zuwenig","ok")</f>
        <v>ok</v>
      </c>
      <c r="Q22" s="66" t="str">
        <f>IF(K22&lt;=15,"gut","schlecht")</f>
        <v>gut</v>
      </c>
      <c r="R22" s="92" t="s">
        <v>115</v>
      </c>
    </row>
    <row r="23" spans="1:18" ht="13.5" thickBot="1" x14ac:dyDescent="0.25">
      <c r="A23" s="82" t="s">
        <v>111</v>
      </c>
      <c r="B23" s="83" t="s">
        <v>52</v>
      </c>
      <c r="C23" s="76" t="s">
        <v>88</v>
      </c>
      <c r="D23" s="68">
        <v>800</v>
      </c>
      <c r="E23" s="56">
        <v>80</v>
      </c>
      <c r="F23" s="56">
        <v>11</v>
      </c>
      <c r="G23" s="56">
        <v>6</v>
      </c>
      <c r="H23" s="56">
        <v>0.3</v>
      </c>
      <c r="I23" s="56">
        <v>1.7</v>
      </c>
      <c r="J23" s="62">
        <f>IF(SUM(E23:I23)&lt;92,"falsche Werte",((24*F23+38*G23+17*H23+17*(K23*(100-E23)/100)*(87.9-(0.88*H23*100/(100-E23)))/100-(3.1*F23))/4.19))</f>
        <v>114.01398568019091</v>
      </c>
      <c r="K23" s="56">
        <f>IF((100-F23-G23-H23-I23-E23)&lt;0, 0,(100-F23-G23-H23-I23-E23)*100/(100-E23))</f>
        <v>5</v>
      </c>
      <c r="L23" s="45">
        <f>Grunddaten!$B$10/J23*100</f>
        <v>202.08047164167363</v>
      </c>
      <c r="M23" s="46">
        <v>0.38</v>
      </c>
      <c r="N23" s="46">
        <f>L23*M23/100</f>
        <v>0.76790579223835975</v>
      </c>
      <c r="O23" s="66" t="str">
        <f>IF(L23*G23/100&lt;Grunddaten!B$7,"zuwenig","ok")</f>
        <v>ok</v>
      </c>
      <c r="P23" s="66" t="str">
        <f>IF(L23*F23/100&lt;Grunddaten!B$6*0.85,"zuwenig","ok")</f>
        <v>ok</v>
      </c>
      <c r="Q23" s="66" t="str">
        <f>IF(K23&lt;=15,"gut","schlecht")</f>
        <v>gut</v>
      </c>
      <c r="R23" s="92" t="s">
        <v>115</v>
      </c>
    </row>
    <row r="24" spans="1:18" ht="26.25" thickBot="1" x14ac:dyDescent="0.25">
      <c r="A24" s="82" t="s">
        <v>113</v>
      </c>
      <c r="B24" s="82" t="s">
        <v>112</v>
      </c>
      <c r="C24" s="55" t="s">
        <v>5</v>
      </c>
      <c r="D24" s="68">
        <v>1500</v>
      </c>
      <c r="E24" s="55">
        <v>79</v>
      </c>
      <c r="F24" s="55">
        <v>11</v>
      </c>
      <c r="G24" s="55">
        <v>6.5</v>
      </c>
      <c r="H24" s="55">
        <v>0.4</v>
      </c>
      <c r="I24" s="55">
        <v>2.2999999999999998</v>
      </c>
      <c r="J24" s="62">
        <f>IF(SUM(E24:I24)&lt;92,"falsche Werte",((24*F24+38*G24+17*H24+17*(K24*(100-E24)/100)*(87.9-(0.88*H24*100/(100-E24)))/100-(3.1*F24))/4.19))</f>
        <v>118.24020002272984</v>
      </c>
      <c r="K24" s="55">
        <f>IF((100-F24-G24-H24-I24-E24)&lt;0, 0,(100-F24-G24-H24-I24-E24)*100/(100-E24))</f>
        <v>3.809523809523796</v>
      </c>
      <c r="L24" s="45">
        <f>Grunddaten!$B$10/J24*100</f>
        <v>194.85758646865381</v>
      </c>
      <c r="M24" s="46">
        <v>0.73</v>
      </c>
      <c r="N24" s="46">
        <f>L24*M24/100</f>
        <v>1.4224603812211729</v>
      </c>
      <c r="O24" s="66" t="str">
        <f>IF(L24*G24/100&lt;Grunddaten!B$7,"zuwenig","ok")</f>
        <v>ok</v>
      </c>
      <c r="P24" s="66" t="str">
        <f>IF(L24*F24/100&lt;Grunddaten!B$6*0.85,"zuwenig","ok")</f>
        <v>ok</v>
      </c>
      <c r="Q24" s="66" t="str">
        <f>IF(K24&lt;=15,"gut","schlecht")</f>
        <v>gut</v>
      </c>
      <c r="R24" s="92" t="s">
        <v>115</v>
      </c>
    </row>
    <row r="25" spans="1:18" ht="26.25" thickBot="1" x14ac:dyDescent="0.25">
      <c r="A25" s="82" t="s">
        <v>127</v>
      </c>
      <c r="B25" s="84"/>
      <c r="C25" s="55"/>
      <c r="D25" s="68">
        <v>805</v>
      </c>
      <c r="E25" s="55">
        <v>82</v>
      </c>
      <c r="F25" s="55">
        <v>9.5</v>
      </c>
      <c r="G25" s="55">
        <v>5.5</v>
      </c>
      <c r="H25" s="55">
        <v>0.2</v>
      </c>
      <c r="I25" s="55">
        <v>2</v>
      </c>
      <c r="J25" s="62">
        <f t="shared" si="0"/>
        <v>100.90010076902676</v>
      </c>
      <c r="K25" s="55">
        <f t="shared" si="1"/>
        <v>4.4444444444444287</v>
      </c>
      <c r="L25" s="45">
        <f>Grunddaten!$B$10/J25*100</f>
        <v>228.34466788830574</v>
      </c>
      <c r="M25" s="46">
        <v>0.45</v>
      </c>
      <c r="N25" s="46">
        <f>L25*M25/100</f>
        <v>1.0275510054973758</v>
      </c>
      <c r="O25" s="66" t="str">
        <f>IF(L25*G25/100&lt;Grunddaten!B$7,"zuwenig","ok")</f>
        <v>ok</v>
      </c>
      <c r="P25" s="66" t="str">
        <f>IF(L25*F25/100&lt;Grunddaten!B$6*0.85,"zuwenig","ok")</f>
        <v>ok</v>
      </c>
      <c r="Q25" s="66" t="str">
        <f t="shared" si="3"/>
        <v>gut</v>
      </c>
      <c r="R25" s="92"/>
    </row>
    <row r="26" spans="1:18" ht="12" customHeight="1" thickBot="1" x14ac:dyDescent="0.25">
      <c r="A26" s="82" t="s">
        <v>100</v>
      </c>
      <c r="B26" s="84" t="s">
        <v>82</v>
      </c>
      <c r="C26" s="55" t="s">
        <v>17</v>
      </c>
      <c r="D26" s="68">
        <v>1500</v>
      </c>
      <c r="E26" s="55">
        <v>81.5</v>
      </c>
      <c r="F26" s="55">
        <v>9.3000000000000007</v>
      </c>
      <c r="G26" s="55">
        <v>7.6</v>
      </c>
      <c r="H26" s="55">
        <v>0.4</v>
      </c>
      <c r="I26" s="55">
        <v>1</v>
      </c>
      <c r="J26" s="62">
        <f t="shared" si="0"/>
        <v>117.63577759143389</v>
      </c>
      <c r="K26" s="55">
        <f t="shared" si="1"/>
        <v>1.0810810810810965</v>
      </c>
      <c r="L26" s="45">
        <f>Grunddaten!$B$10/J26*100</f>
        <v>195.8587809911136</v>
      </c>
      <c r="M26" s="46">
        <v>1.04</v>
      </c>
      <c r="N26" s="46">
        <f t="shared" si="2"/>
        <v>2.0369313223075816</v>
      </c>
      <c r="O26" s="66" t="str">
        <f>IF(L26*G26/100&lt;Grunddaten!B$7,"zuwenig","ok")</f>
        <v>ok</v>
      </c>
      <c r="P26" s="66" t="str">
        <f>IF(L26*F26/100&lt;Grunddaten!B$6*0.85,"zuwenig","ok")</f>
        <v>ok</v>
      </c>
      <c r="Q26" s="66" t="str">
        <f t="shared" si="3"/>
        <v>gut</v>
      </c>
      <c r="R26" s="92"/>
    </row>
    <row r="27" spans="1:18" ht="13.5" thickBot="1" x14ac:dyDescent="0.25">
      <c r="A27" s="82" t="s">
        <v>80</v>
      </c>
      <c r="B27" s="82" t="s">
        <v>72</v>
      </c>
      <c r="C27" s="55" t="s">
        <v>73</v>
      </c>
      <c r="D27" s="67" t="s">
        <v>74</v>
      </c>
      <c r="E27" s="55">
        <v>80</v>
      </c>
      <c r="F27" s="55">
        <v>9</v>
      </c>
      <c r="G27" s="55">
        <v>5</v>
      </c>
      <c r="H27" s="55">
        <v>0.3</v>
      </c>
      <c r="I27" s="55">
        <v>1.5</v>
      </c>
      <c r="J27" s="62">
        <f t="shared" si="0"/>
        <v>106.20957517899762</v>
      </c>
      <c r="K27" s="55">
        <f t="shared" si="1"/>
        <v>21.000000000000014</v>
      </c>
      <c r="L27" s="45">
        <f>Grunddaten!$B$10/J27*100</f>
        <v>216.92959378822593</v>
      </c>
      <c r="M27" s="46">
        <f>0.8*100/85</f>
        <v>0.94117647058823528</v>
      </c>
      <c r="N27" s="46">
        <f t="shared" si="2"/>
        <v>2.0416902944774207</v>
      </c>
      <c r="O27" s="66" t="str">
        <f>IF(L27*G27/100&lt;Grunddaten!B$7,"zuwenig","ok")</f>
        <v>ok</v>
      </c>
      <c r="P27" s="66" t="str">
        <f>IF(L27*F27/100&lt;Grunddaten!B$6*0.85,"zuwenig","ok")</f>
        <v>ok</v>
      </c>
      <c r="Q27" s="66" t="str">
        <f t="shared" si="3"/>
        <v>schlecht</v>
      </c>
      <c r="R27" s="92"/>
    </row>
    <row r="28" spans="1:18" ht="26.25" thickBot="1" x14ac:dyDescent="0.25">
      <c r="A28" s="82" t="s">
        <v>81</v>
      </c>
      <c r="B28" s="84" t="s">
        <v>83</v>
      </c>
      <c r="C28" s="55" t="s">
        <v>84</v>
      </c>
      <c r="D28" s="68">
        <v>1500</v>
      </c>
      <c r="E28" s="56">
        <v>80</v>
      </c>
      <c r="F28" s="56">
        <v>11.9</v>
      </c>
      <c r="G28" s="56">
        <v>6</v>
      </c>
      <c r="H28" s="56">
        <v>0.4</v>
      </c>
      <c r="I28" s="56">
        <v>2.2999999999999998</v>
      </c>
      <c r="J28" s="62">
        <f t="shared" si="0"/>
        <v>115.39618138424819</v>
      </c>
      <c r="K28" s="55">
        <f t="shared" si="1"/>
        <v>0</v>
      </c>
      <c r="L28" s="45">
        <f>Grunddaten!$B$10/J28*100</f>
        <v>199.65998634981699</v>
      </c>
      <c r="M28" s="46">
        <f>109/85</f>
        <v>1.2823529411764707</v>
      </c>
      <c r="N28" s="46">
        <f t="shared" si="2"/>
        <v>2.560345707309418</v>
      </c>
      <c r="O28" s="66" t="str">
        <f>IF(L28*G28/100&lt;Grunddaten!B$7,"zuwenig","ok")</f>
        <v>ok</v>
      </c>
      <c r="P28" s="66" t="str">
        <f>IF(L28*F28/100&lt;Grunddaten!B$6*0.85,"zuwenig","ok")</f>
        <v>ok</v>
      </c>
      <c r="Q28" s="66" t="str">
        <f t="shared" si="3"/>
        <v>gut</v>
      </c>
      <c r="R28" s="92"/>
    </row>
    <row r="29" spans="1:18" ht="26.25" thickBot="1" x14ac:dyDescent="0.25">
      <c r="A29" s="82" t="s">
        <v>116</v>
      </c>
      <c r="B29" s="87" t="s">
        <v>101</v>
      </c>
      <c r="C29" s="47" t="s">
        <v>47</v>
      </c>
      <c r="D29" s="68">
        <v>1500</v>
      </c>
      <c r="E29" s="56">
        <v>81</v>
      </c>
      <c r="F29" s="55">
        <v>10.5</v>
      </c>
      <c r="G29" s="55">
        <v>5.7</v>
      </c>
      <c r="H29" s="55">
        <v>0.5</v>
      </c>
      <c r="I29" s="55">
        <v>2</v>
      </c>
      <c r="J29" s="62">
        <f t="shared" si="0"/>
        <v>107.1395691496043</v>
      </c>
      <c r="K29" s="55">
        <f t="shared" si="1"/>
        <v>1.5789473684210378</v>
      </c>
      <c r="L29" s="45">
        <f>Grunddaten!$B$10/J29*100</f>
        <v>215.04659933649825</v>
      </c>
      <c r="M29" s="46">
        <v>1.33</v>
      </c>
      <c r="N29" s="46">
        <f t="shared" si="2"/>
        <v>2.8601197711754272</v>
      </c>
      <c r="O29" s="66" t="str">
        <f>IF(L29*G29/100&lt;Grunddaten!B$7,"zuwenig","ok")</f>
        <v>ok</v>
      </c>
      <c r="P29" s="66" t="str">
        <f>IF(L29*F29/100&lt;Grunddaten!B$6*0.85,"zuwenig","ok")</f>
        <v>ok</v>
      </c>
      <c r="Q29" s="66" t="str">
        <f t="shared" si="3"/>
        <v>gut</v>
      </c>
      <c r="R29" s="92"/>
    </row>
    <row r="30" spans="1:18" ht="26.25" thickBot="1" x14ac:dyDescent="0.25">
      <c r="A30" s="82" t="s">
        <v>85</v>
      </c>
      <c r="B30" s="88" t="s">
        <v>49</v>
      </c>
      <c r="C30" s="55" t="s">
        <v>17</v>
      </c>
      <c r="D30" s="68">
        <v>160</v>
      </c>
      <c r="E30" s="56">
        <v>82</v>
      </c>
      <c r="F30" s="56">
        <v>14</v>
      </c>
      <c r="G30" s="56">
        <v>0.8</v>
      </c>
      <c r="H30" s="56">
        <v>0.5</v>
      </c>
      <c r="I30" s="56">
        <v>1.5</v>
      </c>
      <c r="J30" s="62">
        <f t="shared" si="0"/>
        <v>83.277549721559268</v>
      </c>
      <c r="K30" s="55">
        <f t="shared" si="1"/>
        <v>6.6666666666666821</v>
      </c>
      <c r="L30" s="45">
        <f>Grunddaten!$B$10/J30*100</f>
        <v>276.66520060970646</v>
      </c>
      <c r="M30" s="46">
        <v>1.1599999999999999</v>
      </c>
      <c r="N30" s="46">
        <f t="shared" si="2"/>
        <v>3.2093163270725951</v>
      </c>
      <c r="O30" s="66" t="str">
        <f>IF(L30*G30/100&lt;Grunddaten!B$7,"zuwenig","ok")</f>
        <v>zuwenig</v>
      </c>
      <c r="P30" s="66" t="str">
        <f>IF(L30*F30/100&lt;Grunddaten!B$6*0.85,"zuwenig","ok")</f>
        <v>ok</v>
      </c>
      <c r="Q30" s="66" t="str">
        <f t="shared" si="3"/>
        <v>gut</v>
      </c>
      <c r="R30" s="92"/>
    </row>
    <row r="31" spans="1:18" ht="13.5" thickBot="1" x14ac:dyDescent="0.25">
      <c r="A31" s="82" t="s">
        <v>137</v>
      </c>
      <c r="B31" s="88" t="s">
        <v>136</v>
      </c>
      <c r="C31" s="55" t="s">
        <v>17</v>
      </c>
      <c r="D31" s="68">
        <v>1500</v>
      </c>
      <c r="E31" s="56">
        <v>80</v>
      </c>
      <c r="F31" s="56">
        <v>10.8</v>
      </c>
      <c r="G31" s="56">
        <v>6.2</v>
      </c>
      <c r="H31" s="56">
        <v>0.4</v>
      </c>
      <c r="I31" s="56">
        <v>2.2999999999999998</v>
      </c>
      <c r="J31" s="62">
        <f t="shared" si="0"/>
        <v>112.77163245823388</v>
      </c>
      <c r="K31" s="55">
        <f t="shared" si="1"/>
        <v>1.4999999999999858</v>
      </c>
      <c r="L31" s="45">
        <f>Grunddaten!$B$10/J31*100</f>
        <v>204.30669928036286</v>
      </c>
      <c r="M31" s="46">
        <v>1.25</v>
      </c>
      <c r="N31" s="46">
        <f>L31*M31/100</f>
        <v>2.553833741004536</v>
      </c>
      <c r="O31" s="66" t="str">
        <f>IF(L31*G31/100&lt;Grunddaten!B$7,"zuwenig","ok")</f>
        <v>ok</v>
      </c>
      <c r="P31" s="66" t="str">
        <f>IF(L31*F31/100&lt;Grunddaten!B$6*0.85,"zuwenig","ok")</f>
        <v>ok</v>
      </c>
      <c r="Q31" s="66" t="str">
        <f>IF(K31&lt;=15,"gut","schlecht")</f>
        <v>gut</v>
      </c>
      <c r="R31" s="92"/>
    </row>
    <row r="32" spans="1:18" ht="13.5" thickBot="1" x14ac:dyDescent="0.25">
      <c r="A32" s="82" t="s">
        <v>102</v>
      </c>
      <c r="B32" s="82"/>
      <c r="C32" s="55"/>
      <c r="D32" s="68">
        <v>400</v>
      </c>
      <c r="E32" s="56">
        <v>77</v>
      </c>
      <c r="F32" s="55">
        <v>10</v>
      </c>
      <c r="G32" s="55">
        <v>3</v>
      </c>
      <c r="H32" s="55">
        <v>1</v>
      </c>
      <c r="I32" s="55">
        <v>2</v>
      </c>
      <c r="J32" s="53">
        <f t="shared" si="0"/>
        <v>105.02337864480647</v>
      </c>
      <c r="K32" s="55">
        <f t="shared" si="1"/>
        <v>30.434782608695652</v>
      </c>
      <c r="L32" s="45">
        <f>Grunddaten!$B$10/J32*100</f>
        <v>219.37972570776131</v>
      </c>
      <c r="M32" s="46">
        <v>1.66</v>
      </c>
      <c r="N32" s="46">
        <f t="shared" si="2"/>
        <v>3.6417034467488376</v>
      </c>
      <c r="O32" s="66" t="str">
        <f>IF(L32*G32/100&lt;Grunddaten!B$7,"zuwenig","ok")</f>
        <v>ok</v>
      </c>
      <c r="P32" s="66" t="str">
        <f>IF(L32*F32/100&lt;Grunddaten!B$6*0.85,"zuwenig","ok")</f>
        <v>ok</v>
      </c>
      <c r="Q32" s="66" t="str">
        <f t="shared" si="3"/>
        <v>schlecht</v>
      </c>
      <c r="R32" s="92"/>
    </row>
    <row r="33" spans="1:18" ht="26.25" thickBot="1" x14ac:dyDescent="0.25">
      <c r="A33" s="82" t="s">
        <v>144</v>
      </c>
      <c r="B33" s="87"/>
      <c r="C33" s="55" t="s">
        <v>88</v>
      </c>
      <c r="D33" s="68">
        <v>500</v>
      </c>
      <c r="E33" s="56">
        <v>79</v>
      </c>
      <c r="F33" s="56">
        <v>10</v>
      </c>
      <c r="G33" s="56">
        <v>8</v>
      </c>
      <c r="H33" s="56">
        <v>0.5</v>
      </c>
      <c r="I33" s="56">
        <v>2</v>
      </c>
      <c r="J33" s="53">
        <f t="shared" si="0"/>
        <v>126.20367655415387</v>
      </c>
      <c r="K33" s="55">
        <f t="shared" si="1"/>
        <v>2.3809523809523809</v>
      </c>
      <c r="L33" s="45">
        <f>Grunddaten!$B$10/J33*100</f>
        <v>182.56203487157174</v>
      </c>
      <c r="M33" s="46">
        <v>0.48</v>
      </c>
      <c r="N33" s="46">
        <f t="shared" ref="N33" si="4">L33*M33/100</f>
        <v>0.87629776738354437</v>
      </c>
      <c r="O33" s="66" t="str">
        <f>IF(L33*G33/100&lt;Grunddaten!B$7,"zuwenig","ok")</f>
        <v>ok</v>
      </c>
      <c r="P33" s="66" t="str">
        <f>IF(L33*F33/100&lt;Grunddaten!B$6*0.85,"zuwenig","ok")</f>
        <v>ok</v>
      </c>
      <c r="Q33" s="66" t="str">
        <f t="shared" ref="Q33" si="5">IF(K33&lt;=15,"gut","schlecht")</f>
        <v>gut</v>
      </c>
      <c r="R33" s="92"/>
    </row>
    <row r="34" spans="1:18" ht="15.75" thickBot="1" x14ac:dyDescent="0.3">
      <c r="A34" s="78" t="s">
        <v>103</v>
      </c>
      <c r="B34" s="81"/>
      <c r="C34" s="76"/>
      <c r="D34" s="68"/>
      <c r="E34" s="56"/>
      <c r="F34" s="56"/>
      <c r="G34" s="56"/>
      <c r="H34" s="56"/>
      <c r="I34" s="56"/>
      <c r="J34" s="56"/>
      <c r="K34" s="56"/>
      <c r="L34" s="56"/>
      <c r="M34" s="46"/>
      <c r="N34" s="46"/>
      <c r="O34" s="66"/>
      <c r="P34" s="66"/>
      <c r="Q34" s="66"/>
      <c r="R34" s="92"/>
    </row>
    <row r="35" spans="1:18" ht="15.75" thickBot="1" x14ac:dyDescent="0.3">
      <c r="A35" s="78"/>
      <c r="B35" s="81"/>
      <c r="C35" s="76"/>
      <c r="D35" s="68"/>
      <c r="E35" s="56"/>
      <c r="F35" s="56"/>
      <c r="G35" s="56"/>
      <c r="H35" s="56"/>
      <c r="I35" s="56"/>
      <c r="J35" s="56"/>
      <c r="K35" s="56"/>
      <c r="L35" s="56"/>
      <c r="M35" s="46"/>
      <c r="N35" s="46"/>
      <c r="O35" s="66"/>
      <c r="P35" s="66"/>
      <c r="Q35" s="66"/>
      <c r="R35" s="92"/>
    </row>
    <row r="36" spans="1:18" ht="15.75" thickBot="1" x14ac:dyDescent="0.3">
      <c r="A36" s="78"/>
      <c r="B36" s="81"/>
      <c r="C36" s="76"/>
      <c r="D36" s="68"/>
      <c r="E36" s="56"/>
      <c r="F36" s="56"/>
      <c r="G36" s="56"/>
      <c r="H36" s="56"/>
      <c r="I36" s="56"/>
      <c r="J36" s="56"/>
      <c r="K36" s="56"/>
      <c r="L36" s="56"/>
      <c r="M36" s="46"/>
      <c r="N36" s="46"/>
      <c r="O36" s="66"/>
      <c r="P36" s="66"/>
      <c r="Q36" s="66"/>
      <c r="R36" s="92"/>
    </row>
    <row r="37" spans="1:18" ht="15.75" thickBot="1" x14ac:dyDescent="0.3">
      <c r="A37" s="78"/>
      <c r="B37" s="81"/>
      <c r="C37" s="76"/>
      <c r="D37" s="68"/>
      <c r="E37" s="56"/>
      <c r="F37" s="56"/>
      <c r="G37" s="56"/>
      <c r="H37" s="56"/>
      <c r="I37" s="56"/>
      <c r="J37" s="56"/>
      <c r="K37" s="56"/>
      <c r="L37" s="56"/>
      <c r="M37" s="46"/>
      <c r="N37" s="46"/>
      <c r="O37" s="66"/>
      <c r="P37" s="66"/>
      <c r="Q37" s="66"/>
      <c r="R37" s="92"/>
    </row>
    <row r="38" spans="1:18" ht="21.75" customHeight="1" thickBot="1" x14ac:dyDescent="0.3">
      <c r="A38" s="79" t="s">
        <v>38</v>
      </c>
      <c r="B38" s="81"/>
      <c r="C38" s="55"/>
      <c r="D38" s="68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73"/>
      <c r="P38" s="66"/>
      <c r="Q38" s="66"/>
    </row>
    <row r="39" spans="1:18" ht="26.25" thickBot="1" x14ac:dyDescent="0.25">
      <c r="A39" s="82" t="s">
        <v>124</v>
      </c>
      <c r="B39" s="81"/>
      <c r="C39" s="55" t="s">
        <v>19</v>
      </c>
      <c r="D39" s="68">
        <v>750</v>
      </c>
      <c r="E39" s="55">
        <v>12</v>
      </c>
      <c r="F39" s="55">
        <v>36</v>
      </c>
      <c r="G39" s="55">
        <v>16</v>
      </c>
      <c r="H39" s="55">
        <v>2</v>
      </c>
      <c r="I39" s="55">
        <v>7.5</v>
      </c>
      <c r="J39" s="62">
        <f t="shared" ref="J39:J48" si="6">((24*F39+38*G39+17*H39+17*(K39*(100-E39)/100)*(87.9-(0.88*H39*100/(100-E39)))/100-(3.1*F39))/4.19)</f>
        <v>425.15023866348446</v>
      </c>
      <c r="K39" s="55">
        <f t="shared" ref="K39:K48" si="7">IF((100-F39-G39-H39-I39-E39)&lt;0, 0,(100-F39-G39-H39-I39-E39)*100/(100-E39))</f>
        <v>30.113636363636363</v>
      </c>
      <c r="L39" s="55">
        <f>Grunddaten!$B$10/J39*100</f>
        <v>54.19260747078318</v>
      </c>
      <c r="M39" s="55">
        <v>0.32700000000000001</v>
      </c>
      <c r="N39" s="58">
        <f t="shared" ref="N39:N48" si="8">L39*M39/100</f>
        <v>0.17720982642946101</v>
      </c>
      <c r="O39" s="66" t="str">
        <f>IF(L39*G39/100&lt;Grunddaten!B$7,"zuwenig","ok")</f>
        <v>ok</v>
      </c>
      <c r="P39" s="66" t="str">
        <f>IF(L39*F39/100&lt;Grunddaten!B$6*0.85,"zuwenig","ok")</f>
        <v>ok</v>
      </c>
      <c r="Q39" s="66"/>
    </row>
    <row r="40" spans="1:18" ht="35.25" customHeight="1" thickBot="1" x14ac:dyDescent="0.25">
      <c r="A40" s="82" t="s">
        <v>93</v>
      </c>
      <c r="B40" s="86" t="s">
        <v>18</v>
      </c>
      <c r="C40" s="55" t="s">
        <v>7</v>
      </c>
      <c r="D40" s="68">
        <v>1600</v>
      </c>
      <c r="E40" s="55">
        <v>9</v>
      </c>
      <c r="F40" s="55">
        <v>30</v>
      </c>
      <c r="G40" s="55">
        <v>12</v>
      </c>
      <c r="H40" s="55">
        <v>2.5</v>
      </c>
      <c r="I40" s="55">
        <v>6</v>
      </c>
      <c r="J40" s="62">
        <f t="shared" si="6"/>
        <v>409.08029714915153</v>
      </c>
      <c r="K40" s="55">
        <f t="shared" si="7"/>
        <v>44.505494505494504</v>
      </c>
      <c r="L40" s="55">
        <f>Grunddaten!$B$10/J40*100</f>
        <v>56.321460995711483</v>
      </c>
      <c r="M40" s="46">
        <v>0.5</v>
      </c>
      <c r="N40" s="46">
        <f t="shared" si="8"/>
        <v>0.2816073049785574</v>
      </c>
      <c r="O40" s="66" t="str">
        <f>IF(L40*G40/100&lt;Grunddaten!B$7,"zuwenig","ok")</f>
        <v>ok</v>
      </c>
      <c r="P40" s="66" t="str">
        <f>IF(L40*F40/100&lt;Grunddaten!B$6*0.85,"zuwenig","ok")</f>
        <v>ok</v>
      </c>
      <c r="Q40" s="66"/>
    </row>
    <row r="41" spans="1:18" ht="13.5" thickBot="1" x14ac:dyDescent="0.25">
      <c r="A41" s="82" t="s">
        <v>138</v>
      </c>
      <c r="B41" s="86" t="s">
        <v>139</v>
      </c>
      <c r="C41" s="55" t="s">
        <v>36</v>
      </c>
      <c r="D41" s="68">
        <v>740</v>
      </c>
      <c r="E41" s="55">
        <v>9</v>
      </c>
      <c r="F41" s="55">
        <v>32</v>
      </c>
      <c r="G41" s="55">
        <v>13.5</v>
      </c>
      <c r="H41" s="55">
        <v>3.2</v>
      </c>
      <c r="I41" s="55">
        <v>7.5</v>
      </c>
      <c r="J41" s="62">
        <f t="shared" ref="J41" si="9">((24*F41+38*G41+17*H41+17*(K41*(100-E41)/100)*(87.9-(0.88*H41*100/(100-E41)))/100-(3.1*F41))/4.19)</f>
        <v>414.77549057148093</v>
      </c>
      <c r="K41" s="55">
        <f t="shared" ref="K41" si="10">IF((100-F41-G41-H41-I41-E41)&lt;0, 0,(100-F41-G41-H41-I41-E41)*100/(100-E41))</f>
        <v>38.241758241758234</v>
      </c>
      <c r="L41" s="55">
        <f>Grunddaten!$B$10/J41*100</f>
        <v>55.548123077994092</v>
      </c>
      <c r="M41" s="46">
        <v>1.17</v>
      </c>
      <c r="N41" s="46">
        <f t="shared" ref="N41" si="11">L41*M41/100</f>
        <v>0.64991304001253081</v>
      </c>
      <c r="O41" s="66" t="str">
        <f>IF(L41*G41/100&lt;Grunddaten!B$7,"zuwenig","ok")</f>
        <v>ok</v>
      </c>
      <c r="P41" s="66" t="str">
        <f>IF(L41*F41/100&lt;Grunddaten!B$6*0.85,"zuwenig","ok")</f>
        <v>ok</v>
      </c>
      <c r="Q41" s="66"/>
    </row>
    <row r="42" spans="1:18" ht="13.5" thickBot="1" x14ac:dyDescent="0.25">
      <c r="A42" s="82" t="s">
        <v>34</v>
      </c>
      <c r="B42" s="86" t="s">
        <v>35</v>
      </c>
      <c r="C42" s="55" t="s">
        <v>36</v>
      </c>
      <c r="D42" s="68">
        <v>1600</v>
      </c>
      <c r="E42" s="55">
        <v>10</v>
      </c>
      <c r="F42" s="55">
        <v>32.5</v>
      </c>
      <c r="G42" s="55">
        <v>22.5</v>
      </c>
      <c r="H42" s="55">
        <v>2.5</v>
      </c>
      <c r="I42" s="55">
        <v>6.7</v>
      </c>
      <c r="J42" s="62">
        <f t="shared" si="6"/>
        <v>465.76564836913275</v>
      </c>
      <c r="K42" s="55">
        <f t="shared" si="7"/>
        <v>28.666666666666661</v>
      </c>
      <c r="L42" s="55">
        <f>Grunddaten!$B$10/J42*100</f>
        <v>49.466937032977867</v>
      </c>
      <c r="M42" s="46">
        <v>0.65</v>
      </c>
      <c r="N42" s="46">
        <f t="shared" si="8"/>
        <v>0.32153509071435615</v>
      </c>
      <c r="O42" s="66" t="str">
        <f>IF(L42*G42/100&lt;Grunddaten!B$7,"zuwenig","ok")</f>
        <v>ok</v>
      </c>
      <c r="P42" s="66" t="str">
        <f>IF(L42*F42/100&lt;Grunddaten!B$6*0.85,"zuwenig","ok")</f>
        <v>zuwenig</v>
      </c>
      <c r="Q42" s="66"/>
    </row>
    <row r="43" spans="1:18" ht="13.5" thickBot="1" x14ac:dyDescent="0.25">
      <c r="A43" s="82" t="s">
        <v>90</v>
      </c>
      <c r="B43" s="86" t="s">
        <v>91</v>
      </c>
      <c r="C43" s="55" t="s">
        <v>92</v>
      </c>
      <c r="D43" s="68">
        <v>2300</v>
      </c>
      <c r="E43" s="55">
        <v>5.5</v>
      </c>
      <c r="F43" s="55">
        <v>33</v>
      </c>
      <c r="G43" s="55">
        <v>22</v>
      </c>
      <c r="H43" s="55">
        <v>1.6</v>
      </c>
      <c r="I43" s="55">
        <v>6.9</v>
      </c>
      <c r="J43" s="62">
        <f t="shared" si="6"/>
        <v>479.30333623770377</v>
      </c>
      <c r="K43" s="55">
        <f t="shared" si="7"/>
        <v>32.804232804232804</v>
      </c>
      <c r="L43" s="55">
        <f>Grunddaten!$B$10/J43*100</f>
        <v>48.069767635778845</v>
      </c>
      <c r="M43" s="46">
        <v>0.67</v>
      </c>
      <c r="N43" s="46">
        <f t="shared" si="8"/>
        <v>0.32206744315971825</v>
      </c>
      <c r="O43" s="66" t="str">
        <f>IF(L43*G43/100&lt;Grunddaten!B$7,"zuwenig","ok")</f>
        <v>ok</v>
      </c>
      <c r="P43" s="66" t="str">
        <f>IF(L43*F43/100&lt;Grunddaten!B$6*0.85,"zuwenig","ok")</f>
        <v>zuwenig</v>
      </c>
      <c r="Q43" s="66"/>
    </row>
    <row r="44" spans="1:18" ht="13.5" thickBot="1" x14ac:dyDescent="0.25">
      <c r="A44" s="82" t="s">
        <v>32</v>
      </c>
      <c r="B44" s="88" t="s">
        <v>15</v>
      </c>
      <c r="C44" s="55" t="s">
        <v>16</v>
      </c>
      <c r="D44" s="68">
        <v>1600</v>
      </c>
      <c r="E44" s="55">
        <v>7.5</v>
      </c>
      <c r="F44" s="55">
        <v>32.1</v>
      </c>
      <c r="G44" s="55">
        <v>20.8</v>
      </c>
      <c r="H44" s="55">
        <v>0.9</v>
      </c>
      <c r="I44" s="55">
        <v>5.5</v>
      </c>
      <c r="J44" s="62">
        <f t="shared" si="6"/>
        <v>469.65754550732123</v>
      </c>
      <c r="K44" s="55">
        <f t="shared" si="7"/>
        <v>35.891891891891902</v>
      </c>
      <c r="L44" s="55">
        <f>Grunddaten!$B$10/J44*100</f>
        <v>49.057020845076238</v>
      </c>
      <c r="M44" s="46">
        <v>0.69</v>
      </c>
      <c r="N44" s="46">
        <f t="shared" si="8"/>
        <v>0.33849344383102603</v>
      </c>
      <c r="O44" s="66" t="str">
        <f>IF(L44*G44/100&lt;Grunddaten!B$7,"zuwenig","ok")</f>
        <v>ok</v>
      </c>
      <c r="P44" s="66" t="str">
        <f>IF(L44*F44/100&lt;Grunddaten!B$6*0.85,"zuwenig","ok")</f>
        <v>zuwenig</v>
      </c>
      <c r="Q44" s="66"/>
    </row>
    <row r="45" spans="1:18" ht="13.5" thickBot="1" x14ac:dyDescent="0.25">
      <c r="A45" s="82" t="s">
        <v>96</v>
      </c>
      <c r="B45" s="86" t="s">
        <v>33</v>
      </c>
      <c r="C45" s="55" t="s">
        <v>17</v>
      </c>
      <c r="D45" s="68">
        <v>2000</v>
      </c>
      <c r="E45" s="55">
        <v>10</v>
      </c>
      <c r="F45" s="55">
        <v>29</v>
      </c>
      <c r="G45" s="55">
        <v>13</v>
      </c>
      <c r="H45" s="55">
        <v>5</v>
      </c>
      <c r="I45" s="55">
        <v>5.7</v>
      </c>
      <c r="J45" s="62">
        <f t="shared" si="6"/>
        <v>408.46621850967909</v>
      </c>
      <c r="K45" s="55">
        <f t="shared" si="7"/>
        <v>41.444444444444443</v>
      </c>
      <c r="L45" s="55">
        <f>Grunddaten!$B$10/J45*100</f>
        <v>56.406133373925606</v>
      </c>
      <c r="M45" s="46">
        <v>0.67</v>
      </c>
      <c r="N45" s="46">
        <f t="shared" si="8"/>
        <v>0.37792109360530157</v>
      </c>
      <c r="O45" s="66" t="str">
        <f>IF(L45*G45/100&lt;Grunddaten!B$7,"zuwenig","ok")</f>
        <v>ok</v>
      </c>
      <c r="P45" s="66" t="str">
        <f>IF(L45*F45/100&lt;Grunddaten!B$6*0.85,"zuwenig","ok")</f>
        <v>ok</v>
      </c>
      <c r="Q45" s="66"/>
      <c r="R45" s="90" t="s">
        <v>115</v>
      </c>
    </row>
    <row r="46" spans="1:18" ht="13.5" thickBot="1" x14ac:dyDescent="0.25">
      <c r="A46" s="82" t="s">
        <v>94</v>
      </c>
      <c r="B46" s="81" t="s">
        <v>95</v>
      </c>
      <c r="C46" s="55" t="s">
        <v>17</v>
      </c>
      <c r="D46" s="68">
        <v>2000</v>
      </c>
      <c r="E46" s="55">
        <v>10</v>
      </c>
      <c r="F46" s="55">
        <v>32</v>
      </c>
      <c r="G46" s="55">
        <v>16</v>
      </c>
      <c r="H46" s="55">
        <v>3</v>
      </c>
      <c r="I46" s="55">
        <v>6.5</v>
      </c>
      <c r="J46" s="62">
        <f t="shared" si="6"/>
        <v>428.93575974542563</v>
      </c>
      <c r="K46" s="55">
        <f t="shared" si="7"/>
        <v>36.111111111111114</v>
      </c>
      <c r="L46" s="55">
        <f>Grunddaten!$B$10/J46*100</f>
        <v>53.71433711582894</v>
      </c>
      <c r="M46" s="55">
        <v>0.85</v>
      </c>
      <c r="N46" s="58">
        <f t="shared" si="8"/>
        <v>0.45657186548454598</v>
      </c>
      <c r="O46" s="66" t="str">
        <f>IF(L46*G46/100&lt;Grunddaten!B$7,"zuwenig","ok")</f>
        <v>ok</v>
      </c>
      <c r="P46" s="66" t="str">
        <f>IF(L46*F46/100&lt;Grunddaten!B$6*0.85,"zuwenig","ok")</f>
        <v>ok</v>
      </c>
      <c r="Q46" s="66"/>
    </row>
    <row r="47" spans="1:18" ht="13.5" thickBot="1" x14ac:dyDescent="0.25">
      <c r="A47" s="82" t="s">
        <v>30</v>
      </c>
      <c r="B47" s="86" t="s">
        <v>29</v>
      </c>
      <c r="C47" s="55" t="s">
        <v>19</v>
      </c>
      <c r="D47" s="68">
        <v>1650</v>
      </c>
      <c r="E47" s="55">
        <v>9</v>
      </c>
      <c r="F47" s="55">
        <v>31</v>
      </c>
      <c r="G47" s="55">
        <v>8.1999999999999993</v>
      </c>
      <c r="H47" s="55">
        <v>7.6</v>
      </c>
      <c r="I47" s="55">
        <v>5.5</v>
      </c>
      <c r="J47" s="62">
        <f t="shared" si="6"/>
        <v>386.31075533058828</v>
      </c>
      <c r="K47" s="55">
        <f t="shared" si="7"/>
        <v>42.527472527472526</v>
      </c>
      <c r="L47" s="55">
        <f>Grunddaten!$B$10/J47*100</f>
        <v>59.641104168283775</v>
      </c>
      <c r="M47" s="46">
        <f>20.8/20</f>
        <v>1.04</v>
      </c>
      <c r="N47" s="46">
        <f t="shared" si="8"/>
        <v>0.62026748335015125</v>
      </c>
      <c r="O47" s="66" t="str">
        <f>IF(L47*G47/100&lt;Grunddaten!B$7,"zuwenig","ok")</f>
        <v>zuwenig</v>
      </c>
      <c r="P47" s="66" t="str">
        <f>IF(L47*F47/100&lt;Grunddaten!B$6*0.85,"zuwenig","ok")</f>
        <v>ok</v>
      </c>
      <c r="Q47" s="66"/>
    </row>
    <row r="48" spans="1:18" ht="13.5" thickBot="1" x14ac:dyDescent="0.25">
      <c r="A48" s="82" t="s">
        <v>145</v>
      </c>
      <c r="B48" s="81" t="s">
        <v>146</v>
      </c>
      <c r="C48" s="55" t="s">
        <v>19</v>
      </c>
      <c r="D48" s="68">
        <v>2000</v>
      </c>
      <c r="E48" s="55">
        <v>7</v>
      </c>
      <c r="F48" s="55">
        <v>32</v>
      </c>
      <c r="G48" s="55">
        <v>18</v>
      </c>
      <c r="H48" s="55">
        <v>4</v>
      </c>
      <c r="I48" s="55">
        <v>8.5</v>
      </c>
      <c r="J48" s="62">
        <f t="shared" si="6"/>
        <v>443.18294839222926</v>
      </c>
      <c r="K48" s="55">
        <f t="shared" si="7"/>
        <v>32.795698924731184</v>
      </c>
      <c r="L48" s="55">
        <f>Grunddaten!$B$10/J48*100</f>
        <v>51.987559728062813</v>
      </c>
      <c r="M48" s="58">
        <v>0.66</v>
      </c>
      <c r="N48" s="58">
        <f t="shared" si="8"/>
        <v>0.34311789420521455</v>
      </c>
      <c r="O48" s="66" t="str">
        <f>IF(L48*G48/100&lt;Grunddaten!B$7,"zuwenig","ok")</f>
        <v>ok</v>
      </c>
      <c r="P48" s="66" t="str">
        <f>IF(L48*F48/100&lt;Grunddaten!B$6*0.85,"zuwenig","ok")</f>
        <v>ok</v>
      </c>
      <c r="Q48" s="66"/>
    </row>
    <row r="49" spans="1:18" ht="13.5" thickBot="1" x14ac:dyDescent="0.25">
      <c r="A49" s="82" t="s">
        <v>107</v>
      </c>
      <c r="B49" s="81" t="s">
        <v>108</v>
      </c>
      <c r="C49" s="55" t="s">
        <v>19</v>
      </c>
      <c r="D49" s="68">
        <v>2500</v>
      </c>
      <c r="E49" s="55">
        <v>11</v>
      </c>
      <c r="F49" s="55">
        <v>37</v>
      </c>
      <c r="G49" s="55">
        <v>12</v>
      </c>
      <c r="H49" s="55">
        <v>4.5</v>
      </c>
      <c r="I49" s="55">
        <v>6</v>
      </c>
      <c r="J49" s="62">
        <f>((24*F49+38*G49+17*H49+17*(K49*(100-E49)/100)*(87.9-(0.88*H49*100/(100-E49)))/100-(3.1*F49))/4.19)</f>
        <v>411.52853637606927</v>
      </c>
      <c r="K49" s="55">
        <f>IF((100-F49-G49-H49-I49-E49)&lt;0, 0,(100-F49-G49-H49-I49-E49)*100/(100-E49))</f>
        <v>33.146067415730336</v>
      </c>
      <c r="L49" s="55">
        <f>Grunddaten!$B$10/J49*100</f>
        <v>55.986396965058184</v>
      </c>
      <c r="M49" s="58">
        <v>0.94499999999999995</v>
      </c>
      <c r="N49" s="58">
        <f>L49*M49/100</f>
        <v>0.52907145131979982</v>
      </c>
      <c r="O49" s="66" t="str">
        <f>IF(L49*G49/100&lt;Grunddaten!B$7,"zuwenig","ok")</f>
        <v>ok</v>
      </c>
      <c r="P49" s="66" t="str">
        <f>IF(L49*F49/100&lt;Grunddaten!B$6*0.85,"zuwenig","ok")</f>
        <v>ok</v>
      </c>
      <c r="Q49" s="66"/>
    </row>
    <row r="50" spans="1:18" ht="13.5" thickBot="1" x14ac:dyDescent="0.25">
      <c r="A50" s="80" t="s">
        <v>117</v>
      </c>
      <c r="B50" s="81" t="s">
        <v>118</v>
      </c>
      <c r="C50" s="55" t="s">
        <v>17</v>
      </c>
      <c r="D50" s="68">
        <v>2600</v>
      </c>
      <c r="E50" s="55">
        <v>5.5</v>
      </c>
      <c r="F50" s="55">
        <v>34</v>
      </c>
      <c r="G50" s="55">
        <v>12</v>
      </c>
      <c r="H50" s="55">
        <v>9.8000000000000007</v>
      </c>
      <c r="I50" s="55">
        <v>7.1</v>
      </c>
      <c r="J50" s="62">
        <f>((24*F50+38*G50+17*H50+17*(K50*(100-E50)/100)*(87.9-(0.88*H50*100/(100-E50)))/100-(3.1*F50))/4.19)</f>
        <v>419.18241668876504</v>
      </c>
      <c r="K50" s="55">
        <f>IF((100-F50-G50-H50-I50-E50)&lt;0, 0,(100-F50-G50-H50-I50-E50)*100/(100-E50))</f>
        <v>33.439153439153436</v>
      </c>
      <c r="L50" s="55">
        <f>Grunddaten!$B$10/J50*100</f>
        <v>54.964137527521252</v>
      </c>
      <c r="M50" s="58">
        <v>0.86</v>
      </c>
      <c r="N50" s="58">
        <f>L50*M50/100</f>
        <v>0.47269158273668277</v>
      </c>
      <c r="O50" s="66" t="str">
        <f>IF(L50*G50/100&lt;Grunddaten!B$7,"zuwenig","ok")</f>
        <v>ok</v>
      </c>
      <c r="P50" s="66" t="str">
        <f>IF(L50*F50/100&lt;Grunddaten!B$6*0.85,"zuwenig","ok")</f>
        <v>ok</v>
      </c>
      <c r="Q50" s="66"/>
      <c r="R50" s="90" t="s">
        <v>115</v>
      </c>
    </row>
    <row r="51" spans="1:18" ht="13.5" thickBot="1" x14ac:dyDescent="0.25">
      <c r="A51" s="47" t="s">
        <v>121</v>
      </c>
      <c r="B51" s="81" t="s">
        <v>122</v>
      </c>
      <c r="C51" s="55" t="s">
        <v>19</v>
      </c>
      <c r="D51" s="68">
        <v>800</v>
      </c>
      <c r="E51" s="55">
        <v>11</v>
      </c>
      <c r="F51" s="55">
        <v>34</v>
      </c>
      <c r="G51" s="55">
        <v>20</v>
      </c>
      <c r="H51" s="55">
        <v>2</v>
      </c>
      <c r="I51" s="55">
        <v>7.5</v>
      </c>
      <c r="J51" s="53">
        <f>((24*F51+38*G51+17*H51+17*(K51*(100-E51)/100)*(87.9-(0.88*H51*100/(100-E51)))/100-(3.1*F51))/4.19)</f>
        <v>447.98900136762211</v>
      </c>
      <c r="K51" s="55">
        <f>IF((100-F51-G51-H51-I51-E51)&lt;0, 0,(100-F51-G51-H51-I51-E51)*100/(100-E51))</f>
        <v>28.651685393258425</v>
      </c>
      <c r="L51" s="55">
        <f>Grunddaten!$B$10/J51*100</f>
        <v>51.429834057674228</v>
      </c>
      <c r="M51" s="58">
        <v>0.79</v>
      </c>
      <c r="N51" s="58">
        <f>L51*M51/100</f>
        <v>0.40629568905562641</v>
      </c>
      <c r="O51" s="66" t="str">
        <f>IF(L51*G51/100&lt;Grunddaten!B$7,"zuwenig","ok")</f>
        <v>ok</v>
      </c>
      <c r="P51" s="66" t="str">
        <f>IF(L51*F51/100&lt;Grunddaten!B$6*0.85,"zuwenig","ok")</f>
        <v>ok</v>
      </c>
      <c r="Q51" s="66"/>
      <c r="R51" s="90" t="s">
        <v>115</v>
      </c>
    </row>
    <row r="52" spans="1:18" ht="13.5" thickBot="1" x14ac:dyDescent="0.25">
      <c r="C52" s="55"/>
      <c r="D52" s="68"/>
      <c r="E52" s="55"/>
      <c r="F52" s="55"/>
      <c r="G52" s="55"/>
      <c r="H52" s="55"/>
      <c r="I52" s="55"/>
      <c r="J52" s="53"/>
      <c r="K52" s="55"/>
      <c r="L52" s="55"/>
      <c r="M52" s="55"/>
      <c r="N52" s="58"/>
      <c r="O52" s="66"/>
      <c r="P52" s="66"/>
      <c r="Q52" s="66"/>
    </row>
    <row r="53" spans="1:18" ht="77.25" thickBot="1" x14ac:dyDescent="0.25">
      <c r="A53" s="59" t="s">
        <v>46</v>
      </c>
      <c r="F53" s="81"/>
      <c r="J53" s="45"/>
      <c r="K53" s="55"/>
      <c r="M53" s="46"/>
      <c r="N53" s="46"/>
      <c r="O53" s="66"/>
      <c r="P53" s="66"/>
      <c r="Q53" s="66" t="s">
        <v>126</v>
      </c>
    </row>
    <row r="54" spans="1:18" x14ac:dyDescent="0.2">
      <c r="J54" s="45"/>
      <c r="K54" s="55"/>
      <c r="L54" s="2">
        <f>PERCENTILE(L4:L33,0.55)</f>
        <v>207.70740198066557</v>
      </c>
      <c r="M54" s="46"/>
      <c r="N54" s="46"/>
      <c r="O54" s="74"/>
      <c r="P54" s="75"/>
      <c r="Q54" s="75"/>
    </row>
    <row r="55" spans="1:18" x14ac:dyDescent="0.2">
      <c r="L55" s="2">
        <f>PERCENTILE(L39:L48,0.55)</f>
        <v>54.168693953035465</v>
      </c>
    </row>
  </sheetData>
  <sheetProtection formatCells="0" formatRows="0" insertRows="0" deleteRows="0"/>
  <mergeCells count="1">
    <mergeCell ref="O1:Q1"/>
  </mergeCells>
  <phoneticPr fontId="0" type="noConversion"/>
  <conditionalFormatting sqref="L4:L33">
    <cfRule type="cellIs" dxfId="1" priority="1" stopIfTrue="1" operator="lessThan">
      <formula>$L$54</formula>
    </cfRule>
  </conditionalFormatting>
  <conditionalFormatting sqref="L39:L51">
    <cfRule type="cellIs" dxfId="0" priority="8" stopIfTrue="1" operator="lessThan">
      <formula>$L$55</formula>
    </cfRule>
  </conditionalFormatting>
  <printOptions headings="1" gridLines="1"/>
  <pageMargins left="0.23622047244094491" right="0.23622047244094491" top="0.35433070866141736" bottom="0.74803149606299213" header="0.31496062992125984" footer="0.31496062992125984"/>
  <pageSetup paperSize="9" scale="7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Grunddaten</vt:lpstr>
      <vt:lpstr>Futterauswertung</vt:lpstr>
      <vt:lpstr>Futterauswertung!Drucktitel</vt:lpstr>
    </vt:vector>
  </TitlesOfParts>
  <Company>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Laufer</dc:creator>
  <cp:lastModifiedBy>thomas Laufer</cp:lastModifiedBy>
  <cp:lastPrinted>2021-03-27T17:44:20Z</cp:lastPrinted>
  <dcterms:created xsi:type="dcterms:W3CDTF">2006-09-30T10:17:31Z</dcterms:created>
  <dcterms:modified xsi:type="dcterms:W3CDTF">2024-09-16T17:00:00Z</dcterms:modified>
</cp:coreProperties>
</file>